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96" windowHeight="11760" tabRatio="819"/>
  </bookViews>
  <sheets>
    <sheet name="Návod na použitie" sheetId="9" r:id="rId1"/>
    <sheet name="1 Ohmov zákon, Napäťový delič" sheetId="1" r:id="rId2"/>
    <sheet name="2 Elektrický odpor" sheetId="2" r:id="rId3"/>
    <sheet name="3 Vodivosť" sheetId="6" r:id="rId4"/>
    <sheet name="4 Max a Min hodnota R" sheetId="7" r:id="rId5"/>
    <sheet name="5 Prevody jednotiek" sheetId="3" r:id="rId6"/>
    <sheet name="6 Hodnota R podľa farby" sheetId="8" r:id="rId7"/>
    <sheet name="7 Kirchhoffove zákony" sheetId="10" r:id="rId8"/>
    <sheet name="8 Transformátor" sheetId="12" r:id="rId9"/>
    <sheet name="9 Logické obvody" sheetId="11" r:id="rId10"/>
    <sheet name="11 Prevody DES-BIN-HEXA" sheetId="16" r:id="rId11"/>
    <sheet name="12 Kondenzátory" sheetId="17" r:id="rId12"/>
    <sheet name="13 Výpočty na sínusovke" sheetId="18" r:id="rId13"/>
    <sheet name="14 Výpočty na elektromotore" sheetId="19" r:id="rId14"/>
    <sheet name="15 Výpočty v sieti" sheetId="20" r:id="rId15"/>
    <sheet name="Komplexné zdroje" sheetId="13" r:id="rId16"/>
    <sheet name="Pomocné výpočty" sheetId="5" r:id="rId17"/>
  </sheets>
  <definedNames>
    <definedName name="Striebro">'2 Elektrický odpor'!#REF!</definedName>
  </definedNames>
  <calcPr calcId="145621"/>
</workbook>
</file>

<file path=xl/calcChain.xml><?xml version="1.0" encoding="utf-8"?>
<calcChain xmlns="http://schemas.openxmlformats.org/spreadsheetml/2006/main">
  <c r="K166" i="10" l="1"/>
  <c r="S166" i="10" s="1"/>
  <c r="H166" i="10"/>
  <c r="N166" i="10" s="1"/>
  <c r="W166" i="10" s="1"/>
  <c r="I20" i="19" l="1"/>
  <c r="I22" i="19" s="1"/>
  <c r="I24" i="19" l="1"/>
  <c r="J11" i="20"/>
  <c r="J5" i="20"/>
  <c r="I7" i="19"/>
  <c r="M250" i="1" l="1"/>
  <c r="L250" i="1"/>
  <c r="U246" i="1"/>
  <c r="O241" i="1"/>
  <c r="H241" i="1"/>
  <c r="P241" i="1" s="1"/>
  <c r="G241" i="1"/>
  <c r="P235" i="1"/>
  <c r="H235" i="1"/>
  <c r="U229" i="1"/>
  <c r="T246" i="1" s="1"/>
  <c r="U227" i="1"/>
  <c r="O235" i="1" s="1"/>
  <c r="U225" i="1"/>
  <c r="G235" i="1" s="1"/>
  <c r="B70" i="5" l="1"/>
  <c r="B69" i="5"/>
  <c r="B65" i="5"/>
  <c r="C65" i="5" s="1"/>
  <c r="D65" i="5" s="1"/>
  <c r="E65" i="5" s="1"/>
  <c r="K292" i="11" s="1"/>
  <c r="C67" i="5" s="1"/>
  <c r="B64" i="5"/>
  <c r="C64" i="5" s="1"/>
  <c r="D64" i="5" s="1"/>
  <c r="E64" i="5" s="1"/>
  <c r="K282" i="11" s="1"/>
  <c r="B67" i="5" s="1"/>
  <c r="C70" i="5" l="1"/>
  <c r="D70" i="5" s="1"/>
  <c r="L302" i="11" s="1"/>
  <c r="D67" i="5"/>
  <c r="E67" i="5" s="1"/>
  <c r="F67" i="5" s="1"/>
  <c r="B62" i="5"/>
  <c r="C62" i="5" s="1"/>
  <c r="D62" i="5" s="1"/>
  <c r="E62" i="5" s="1"/>
  <c r="K272" i="11" s="1"/>
  <c r="D69" i="5" l="1"/>
  <c r="L313" i="11"/>
  <c r="G67" i="5"/>
  <c r="R287" i="11" s="1"/>
  <c r="Y214" i="1"/>
  <c r="AF214" i="1"/>
  <c r="T183" i="1"/>
  <c r="E70" i="5" l="1"/>
  <c r="F70" i="5" s="1"/>
  <c r="R307" i="11" s="1"/>
  <c r="D24" i="3"/>
  <c r="D26" i="3"/>
  <c r="AE6" i="18"/>
  <c r="AE9" i="18"/>
  <c r="H85" i="12"/>
  <c r="AE8" i="18" l="1"/>
  <c r="J29" i="18"/>
  <c r="M29" i="18" s="1"/>
  <c r="O16" i="12"/>
  <c r="AE23" i="18" l="1"/>
  <c r="K110" i="10"/>
  <c r="AH109" i="10"/>
  <c r="Z28" i="17" l="1"/>
  <c r="I14" i="17"/>
  <c r="K57" i="12" l="1"/>
  <c r="Y34" i="10"/>
  <c r="D20" i="3"/>
  <c r="D10" i="3"/>
  <c r="E29" i="16"/>
  <c r="E24" i="16"/>
  <c r="E19" i="16"/>
  <c r="E14" i="16"/>
  <c r="E9" i="16"/>
  <c r="E4" i="16"/>
  <c r="L256" i="11" l="1"/>
  <c r="L260" i="11"/>
  <c r="L264" i="11"/>
  <c r="L252" i="11"/>
  <c r="L244" i="11"/>
  <c r="L236" i="11"/>
  <c r="L228" i="11"/>
  <c r="K212" i="11"/>
  <c r="K210" i="11"/>
  <c r="K208" i="11"/>
  <c r="P194" i="11"/>
  <c r="P178" i="11"/>
  <c r="P170" i="11"/>
  <c r="P186" i="11"/>
  <c r="P192" i="11"/>
  <c r="P184" i="11"/>
  <c r="P168" i="11"/>
  <c r="P176" i="11"/>
  <c r="P190" i="11"/>
  <c r="P182" i="11"/>
  <c r="P174" i="11"/>
  <c r="P166" i="11"/>
  <c r="Q262" i="11" l="1"/>
  <c r="Q254" i="11"/>
  <c r="S236" i="11"/>
  <c r="P210" i="11"/>
  <c r="T192" i="11"/>
  <c r="T168" i="11"/>
  <c r="T184" i="11"/>
  <c r="T176" i="11"/>
  <c r="K154" i="11"/>
  <c r="K148" i="11"/>
  <c r="K126" i="11"/>
  <c r="C157" i="11"/>
  <c r="C148" i="11"/>
  <c r="J135" i="11"/>
  <c r="J138" i="11" s="1"/>
  <c r="C128" i="11"/>
  <c r="B59" i="5"/>
  <c r="C59" i="5" s="1"/>
  <c r="D59" i="5" s="1"/>
  <c r="B58" i="5"/>
  <c r="C58" i="5" s="1"/>
  <c r="D58" i="5" s="1"/>
  <c r="E58" i="5" s="1"/>
  <c r="K113" i="11" s="1"/>
  <c r="W258" i="11" l="1"/>
  <c r="AB180" i="11"/>
  <c r="S151" i="11"/>
  <c r="R136" i="11"/>
  <c r="E59" i="5"/>
  <c r="K116" i="11" s="1"/>
  <c r="F58" i="5"/>
  <c r="B51" i="5"/>
  <c r="B50" i="5"/>
  <c r="B56" i="5"/>
  <c r="C56" i="5" s="1"/>
  <c r="D56" i="5" s="1"/>
  <c r="E56" i="5" s="1"/>
  <c r="K102" i="11" s="1"/>
  <c r="B55" i="5"/>
  <c r="C55" i="5" s="1"/>
  <c r="D55" i="5" s="1"/>
  <c r="E55" i="5" s="1"/>
  <c r="K99" i="11" s="1"/>
  <c r="G58" i="5" l="1"/>
  <c r="R116" i="11" s="1"/>
  <c r="H58" i="5"/>
  <c r="I58" i="5" s="1"/>
  <c r="Z114" i="11" s="1"/>
  <c r="R102" i="11"/>
  <c r="B53" i="5" s="1"/>
  <c r="C53" i="5" s="1"/>
  <c r="D53" i="5" s="1"/>
  <c r="E53" i="5" s="1"/>
  <c r="Z100" i="11" s="1"/>
  <c r="C50" i="5"/>
  <c r="I88" i="11" s="1"/>
  <c r="B48" i="5"/>
  <c r="C48" i="5" l="1"/>
  <c r="B47" i="5"/>
  <c r="C47" i="5" s="1"/>
  <c r="B45" i="5"/>
  <c r="C45" i="5" s="1"/>
  <c r="B44" i="5"/>
  <c r="C44" i="5" s="1"/>
  <c r="B42" i="5"/>
  <c r="C42" i="5" s="1"/>
  <c r="B41" i="5"/>
  <c r="C41" i="5" s="1"/>
  <c r="B40" i="5"/>
  <c r="C40" i="5" s="1"/>
  <c r="D40" i="5" s="1"/>
  <c r="E40" i="5" s="1"/>
  <c r="J48" i="11" s="1"/>
  <c r="B38" i="5"/>
  <c r="C38" i="5" s="1"/>
  <c r="U28" i="11" s="1"/>
  <c r="B36" i="5"/>
  <c r="C36" i="5" s="1"/>
  <c r="D36" i="5" s="1"/>
  <c r="E36" i="5" s="1"/>
  <c r="J39" i="11" s="1"/>
  <c r="B35" i="5"/>
  <c r="C35" i="5" s="1"/>
  <c r="I28" i="11" s="1"/>
  <c r="B34" i="5"/>
  <c r="C34" i="5" s="1"/>
  <c r="I16" i="11" s="1"/>
  <c r="B33" i="5"/>
  <c r="C33" i="5" s="1"/>
  <c r="I5" i="11" s="1"/>
  <c r="H86" i="12"/>
  <c r="M57" i="12"/>
  <c r="O15" i="12"/>
  <c r="D47" i="5" l="1"/>
  <c r="E47" i="5" s="1"/>
  <c r="F47" i="5" s="1"/>
  <c r="J78" i="11" s="1"/>
  <c r="D44" i="5"/>
  <c r="E44" i="5" s="1"/>
  <c r="F44" i="5" s="1"/>
  <c r="J68" i="11" s="1"/>
  <c r="D42" i="5"/>
  <c r="V54" i="10"/>
  <c r="O80" i="10"/>
  <c r="AJ66" i="10"/>
  <c r="AJ94" i="10" s="1"/>
  <c r="V66" i="10"/>
  <c r="U94" i="10" s="1"/>
  <c r="AF34" i="10"/>
  <c r="AF20" i="10" l="1"/>
  <c r="M7" i="10"/>
  <c r="E42" i="5"/>
  <c r="J59" i="11" s="1"/>
  <c r="F40" i="5"/>
  <c r="G40" i="5" s="1"/>
  <c r="P54" i="11" s="1"/>
  <c r="J54" i="10"/>
  <c r="AN80" i="10"/>
  <c r="L4" i="8"/>
  <c r="L6" i="8" s="1"/>
  <c r="H27" i="5"/>
  <c r="I27" i="5" s="1"/>
  <c r="H26" i="5"/>
  <c r="I26" i="5" s="1"/>
  <c r="H25" i="5"/>
  <c r="I25" i="5" s="1"/>
  <c r="H24" i="5"/>
  <c r="I24" i="5" s="1"/>
  <c r="H23" i="5"/>
  <c r="I23" i="5" s="1"/>
  <c r="H22" i="5"/>
  <c r="I22" i="5" s="1"/>
  <c r="H21" i="5"/>
  <c r="I21" i="5" s="1"/>
  <c r="H20" i="5"/>
  <c r="I20" i="5" s="1"/>
  <c r="F31" i="5"/>
  <c r="G31" i="5" s="1"/>
  <c r="F30" i="5"/>
  <c r="G30" i="5" s="1"/>
  <c r="F29" i="5"/>
  <c r="G29" i="5" s="1"/>
  <c r="F28" i="5"/>
  <c r="G28" i="5" s="1"/>
  <c r="F27" i="5"/>
  <c r="G27" i="5" s="1"/>
  <c r="F26" i="5"/>
  <c r="G26" i="5" s="1"/>
  <c r="F25" i="5"/>
  <c r="G25" i="5" s="1"/>
  <c r="F24" i="5"/>
  <c r="G24" i="5" s="1"/>
  <c r="F23" i="5"/>
  <c r="G23" i="5" s="1"/>
  <c r="F22" i="5"/>
  <c r="G22" i="5" s="1"/>
  <c r="F21" i="5"/>
  <c r="G21" i="5" s="1"/>
  <c r="F20" i="5"/>
  <c r="G20" i="5" s="1"/>
  <c r="D29" i="5"/>
  <c r="E29" i="5" s="1"/>
  <c r="D28" i="5"/>
  <c r="E28" i="5" s="1"/>
  <c r="D27" i="5"/>
  <c r="E27" i="5" s="1"/>
  <c r="D26" i="5"/>
  <c r="E26" i="5" s="1"/>
  <c r="D25" i="5"/>
  <c r="E25" i="5" s="1"/>
  <c r="D24" i="5"/>
  <c r="E24" i="5" s="1"/>
  <c r="D23" i="5"/>
  <c r="E23" i="5" s="1"/>
  <c r="D22" i="5"/>
  <c r="E22" i="5" s="1"/>
  <c r="D21" i="5"/>
  <c r="E21" i="5" s="1"/>
  <c r="D20" i="5"/>
  <c r="E20" i="5" s="1"/>
  <c r="B29" i="5"/>
  <c r="C29" i="5" s="1"/>
  <c r="B28" i="5"/>
  <c r="C28" i="5" s="1"/>
  <c r="B27" i="5"/>
  <c r="C27" i="5" s="1"/>
  <c r="B26" i="5"/>
  <c r="C26" i="5" s="1"/>
  <c r="B25" i="5"/>
  <c r="C25" i="5" s="1"/>
  <c r="B24" i="5"/>
  <c r="C24" i="5" s="1"/>
  <c r="B23" i="5"/>
  <c r="C23" i="5" s="1"/>
  <c r="B22" i="5"/>
  <c r="C22" i="5" s="1"/>
  <c r="B21" i="5"/>
  <c r="C21" i="5" s="1"/>
  <c r="B20" i="5"/>
  <c r="C20" i="5" s="1"/>
  <c r="B13" i="5"/>
  <c r="C13" i="5" s="1"/>
  <c r="B4" i="5"/>
  <c r="C4" i="5" s="1"/>
  <c r="B16" i="5"/>
  <c r="C16" i="5" s="1"/>
  <c r="B15" i="5"/>
  <c r="C15" i="5" s="1"/>
  <c r="B14" i="5"/>
  <c r="C14" i="5" s="1"/>
  <c r="B12" i="5"/>
  <c r="C12" i="5" s="1"/>
  <c r="B11" i="5"/>
  <c r="C11" i="5" s="1"/>
  <c r="N2" i="7"/>
  <c r="J2" i="7"/>
  <c r="E4" i="6"/>
  <c r="E2" i="6"/>
  <c r="B7" i="5"/>
  <c r="C7" i="5" s="1"/>
  <c r="B2" i="5"/>
  <c r="C2" i="5" s="1"/>
  <c r="B6" i="5"/>
  <c r="C6" i="5" s="1"/>
  <c r="B5" i="5"/>
  <c r="C5" i="5" s="1"/>
  <c r="B3" i="5"/>
  <c r="C3" i="5" s="1"/>
  <c r="I28" i="5" l="1"/>
  <c r="S2" i="8" s="1"/>
  <c r="G32" i="5"/>
  <c r="M2" i="8" s="1"/>
  <c r="M4" i="8" s="1"/>
  <c r="M6" i="8" s="1"/>
  <c r="E30" i="5"/>
  <c r="K2" i="8" s="1"/>
  <c r="K4" i="8" s="1"/>
  <c r="K6" i="8" s="1"/>
  <c r="C30" i="5"/>
  <c r="J2" i="8" s="1"/>
  <c r="C17" i="5"/>
  <c r="D12" i="2" s="1"/>
  <c r="M12" i="2" s="1"/>
  <c r="C8" i="5"/>
  <c r="D3" i="2" s="1"/>
  <c r="M3" i="2" s="1"/>
  <c r="D14" i="3"/>
  <c r="D12" i="3"/>
  <c r="D6" i="3"/>
  <c r="D18" i="3"/>
  <c r="D4" i="3"/>
  <c r="D2" i="3"/>
  <c r="J4" i="8" l="1"/>
  <c r="P2" i="8"/>
  <c r="AK157" i="1"/>
  <c r="J6" i="8" l="1"/>
  <c r="P6" i="8" s="1"/>
  <c r="P4" i="8"/>
  <c r="Y131" i="1"/>
  <c r="AF131" i="1"/>
  <c r="Y88" i="1"/>
  <c r="AK49" i="1"/>
  <c r="Y18" i="1"/>
</calcChain>
</file>

<file path=xl/sharedStrings.xml><?xml version="1.0" encoding="utf-8"?>
<sst xmlns="http://schemas.openxmlformats.org/spreadsheetml/2006/main" count="597" uniqueCount="194">
  <si>
    <t>V</t>
  </si>
  <si>
    <t>Ω</t>
  </si>
  <si>
    <t>A</t>
  </si>
  <si>
    <t>kΩ</t>
  </si>
  <si>
    <t>pF</t>
  </si>
  <si>
    <t>F</t>
  </si>
  <si>
    <t>mA</t>
  </si>
  <si>
    <t>MΩ</t>
  </si>
  <si>
    <r>
      <rPr>
        <b/>
        <sz val="12"/>
        <color theme="1"/>
        <rFont val="Calibri"/>
        <family val="2"/>
        <charset val="238"/>
      </rPr>
      <t>μ</t>
    </r>
    <r>
      <rPr>
        <b/>
        <sz val="12"/>
        <color theme="1"/>
        <rFont val="Tahoma"/>
        <family val="2"/>
        <charset val="238"/>
      </rPr>
      <t>F</t>
    </r>
  </si>
  <si>
    <t>mF</t>
  </si>
  <si>
    <t>Materiál</t>
  </si>
  <si>
    <t>Striebro</t>
  </si>
  <si>
    <t>Meď</t>
  </si>
  <si>
    <t>Hliník</t>
  </si>
  <si>
    <t>Zlato</t>
  </si>
  <si>
    <t>Železo</t>
  </si>
  <si>
    <t>Konštantán</t>
  </si>
  <si>
    <t>Plocha prierezu</t>
  </si>
  <si>
    <t>m2</t>
  </si>
  <si>
    <t>m</t>
  </si>
  <si>
    <t>Dĺžka vodiča</t>
  </si>
  <si>
    <r>
      <rPr>
        <b/>
        <sz val="12"/>
        <color theme="1"/>
        <rFont val="Calibri"/>
        <family val="2"/>
        <charset val="238"/>
      </rPr>
      <t>μ</t>
    </r>
    <r>
      <rPr>
        <b/>
        <sz val="12"/>
        <color theme="1"/>
        <rFont val="Tahoma"/>
        <family val="2"/>
        <charset val="238"/>
      </rPr>
      <t>A</t>
    </r>
  </si>
  <si>
    <t>S</t>
  </si>
  <si>
    <r>
      <rPr>
        <b/>
        <i/>
        <sz val="12"/>
        <color theme="1"/>
        <rFont val="Calibri"/>
        <family val="2"/>
        <charset val="238"/>
      </rPr>
      <t>μ</t>
    </r>
    <r>
      <rPr>
        <b/>
        <i/>
        <sz val="12"/>
        <color theme="1"/>
        <rFont val="Tahoma"/>
        <family val="2"/>
        <charset val="238"/>
      </rPr>
      <t>S</t>
    </r>
  </si>
  <si>
    <t>Minimálna hodnota</t>
  </si>
  <si>
    <t>Tolerancia</t>
  </si>
  <si>
    <t>%</t>
  </si>
  <si>
    <t>Maximálna hodnota</t>
  </si>
  <si>
    <t>mm2</t>
  </si>
  <si>
    <t>1. prúžok</t>
  </si>
  <si>
    <t>2. prúžok</t>
  </si>
  <si>
    <t>Strieborný</t>
  </si>
  <si>
    <t>Zlatý</t>
  </si>
  <si>
    <t>Čierny</t>
  </si>
  <si>
    <t>Hnedý</t>
  </si>
  <si>
    <t>Červený</t>
  </si>
  <si>
    <t>Oranžový</t>
  </si>
  <si>
    <t>Žltý</t>
  </si>
  <si>
    <t>Zelený</t>
  </si>
  <si>
    <t>Modrý</t>
  </si>
  <si>
    <t>Fialový</t>
  </si>
  <si>
    <t>Sivý</t>
  </si>
  <si>
    <t>Biely</t>
  </si>
  <si>
    <t>Žiadny</t>
  </si>
  <si>
    <t>4. prúžok</t>
  </si>
  <si>
    <t>3. prúžok</t>
  </si>
  <si>
    <t>x</t>
  </si>
  <si>
    <t>+/-</t>
  </si>
  <si>
    <t>Bratislava</t>
  </si>
  <si>
    <t>Nateraz viete riešiť príklady na:</t>
  </si>
  <si>
    <t>igor.krucovcin@dualnaakademia.sk</t>
  </si>
  <si>
    <t>S úctou a pozdravom:</t>
  </si>
  <si>
    <t xml:space="preserve">Pripravujem: </t>
  </si>
  <si>
    <t>V oranžových okienkach nájdete výsledky.</t>
  </si>
  <si>
    <t>Ing. Igor Krucovčin.</t>
  </si>
  <si>
    <t>Do žltých okienok (buniek) dopĺňate, modré okienka slúžia na výber v roletkovom menu.</t>
  </si>
  <si>
    <t>Dúfam, že Vám pri precvičovaní príkladov pomôže môj excelovský súbor.</t>
  </si>
  <si>
    <t>Teória</t>
  </si>
  <si>
    <t>Simulácia</t>
  </si>
  <si>
    <t>V spodnej časti resp. pod príkladmi nájdete odkazy na webové stránky, ktoré možno pri vyučovaní využiť.</t>
  </si>
  <si>
    <t>https://encyklopediapoznania.sk/clanok/7351/elektricky-odpor-r</t>
  </si>
  <si>
    <t>https://encyklopediapoznania.sk/clanok/8324/elektricky-odpor-oznacovanie-jednotka-vypocet-vodivost-rezistivita-konduktivita-materialu</t>
  </si>
  <si>
    <t>https://encyklopediapoznania.sk/data/simulacie/merny_elektricky_odpor/merny_elektricky_odpor.html</t>
  </si>
  <si>
    <t>https://encyklopediapoznania.sk/clanok/8345/linearne-suciastky-elektronickych-obvodov-rezistory-podrobne</t>
  </si>
  <si>
    <t>=</t>
  </si>
  <si>
    <t>závitov</t>
  </si>
  <si>
    <t xml:space="preserve">Primárna cievka </t>
  </si>
  <si>
    <t xml:space="preserve">Sekundárna cievka </t>
  </si>
  <si>
    <t>N1=</t>
  </si>
  <si>
    <t>N2=</t>
  </si>
  <si>
    <t>Účinnosť transformátora (η) =</t>
  </si>
  <si>
    <t>odpor vinutia (Ω)</t>
  </si>
  <si>
    <t>napätie na sekundárnej cievke ak transformátor nie je zaťažený (V)</t>
  </si>
  <si>
    <t>napätie na sekundárnej cievke ak transformátor je zaťažený (V)</t>
  </si>
  <si>
    <t>https://www.priklady.eu/sk/fyzika/transformator.alej</t>
  </si>
  <si>
    <t>Zdroj príkladov</t>
  </si>
  <si>
    <t>&amp;</t>
  </si>
  <si>
    <t>≥1</t>
  </si>
  <si>
    <t>C=</t>
  </si>
  <si>
    <t>B=</t>
  </si>
  <si>
    <t>A=</t>
  </si>
  <si>
    <t>X=</t>
  </si>
  <si>
    <t>Y=</t>
  </si>
  <si>
    <t>=Z</t>
  </si>
  <si>
    <t>=X</t>
  </si>
  <si>
    <t>B</t>
  </si>
  <si>
    <t>X</t>
  </si>
  <si>
    <t>C</t>
  </si>
  <si>
    <t>Y</t>
  </si>
  <si>
    <t>Z</t>
  </si>
  <si>
    <t xml:space="preserve"> priebežne každú záložku.</t>
  </si>
  <si>
    <t>Dopĺňam a vylepšujem:</t>
  </si>
  <si>
    <t>Ak máte tip alebo príklad na doplnenie, prípadne vylepšenie realizovaného, píšte na e-mail:</t>
  </si>
  <si>
    <t>Na každej z jeho záložiek nájdete "matematiku" aplikovanú v elektrotechnike.</t>
  </si>
  <si>
    <t>https://www.sostzv.sk/download/software_na_stiahnutie/html_help/index.html?prklad_3abc.htm</t>
  </si>
  <si>
    <t>=1</t>
  </si>
  <si>
    <t>Tento spôsob značenia sa používal v minulosti!</t>
  </si>
  <si>
    <t>+</t>
  </si>
  <si>
    <t>.</t>
  </si>
  <si>
    <t>=Y1</t>
  </si>
  <si>
    <t>=Y3</t>
  </si>
  <si>
    <t>=Y0</t>
  </si>
  <si>
    <t>=Y2</t>
  </si>
  <si>
    <t>Y0</t>
  </si>
  <si>
    <t>Y1</t>
  </si>
  <si>
    <t>Y2</t>
  </si>
  <si>
    <t>Y3</t>
  </si>
  <si>
    <t>X0=</t>
  </si>
  <si>
    <t>X1</t>
  </si>
  <si>
    <t>X1=</t>
  </si>
  <si>
    <t>X2</t>
  </si>
  <si>
    <t>X2=</t>
  </si>
  <si>
    <t>X0</t>
  </si>
  <si>
    <t>=Y</t>
  </si>
  <si>
    <t>DES&lt;256</t>
  </si>
  <si>
    <t>BIN</t>
  </si>
  <si>
    <t>HEXA</t>
  </si>
  <si>
    <t>BIN 8-bitové</t>
  </si>
  <si>
    <t>DES</t>
  </si>
  <si>
    <t>HEX</t>
  </si>
  <si>
    <t>HEX&lt;FF</t>
  </si>
  <si>
    <t>HEX &lt; FFFF</t>
  </si>
  <si>
    <t xml:space="preserve">   2 Elektrický odpor,</t>
  </si>
  <si>
    <t xml:space="preserve">   3 Vodivosť,</t>
  </si>
  <si>
    <t xml:space="preserve">   4 Maximálnu a Minimálnu hodnotu rezistora,</t>
  </si>
  <si>
    <t xml:space="preserve">   6 Určenie odporu rezistora podľa farebných prúžkov,</t>
  </si>
  <si>
    <t xml:space="preserve">   8 Výpočty transformátora,</t>
  </si>
  <si>
    <t xml:space="preserve">   9 Logické funkcie,</t>
  </si>
  <si>
    <t>https://www.kis.fri.uniza.sk/~ludo/e-Publikacia/elektronika/</t>
  </si>
  <si>
    <t xml:space="preserve"> 11 Prevody DES-BIN-HEXA,</t>
  </si>
  <si>
    <t>C1</t>
  </si>
  <si>
    <t>C2</t>
  </si>
  <si>
    <t>Výsledná kapacita</t>
  </si>
  <si>
    <t>Výsledná kapacita C</t>
  </si>
  <si>
    <t>U = konštantné</t>
  </si>
  <si>
    <t>I musí byť &gt;</t>
  </si>
  <si>
    <t xml:space="preserve">   5 Prevody jednotiek,</t>
  </si>
  <si>
    <t xml:space="preserve"> 12 Výpočty kondenzátorov,</t>
  </si>
  <si>
    <t>Hz</t>
  </si>
  <si>
    <t xml:space="preserve">V </t>
  </si>
  <si>
    <t>stredná hodnota</t>
  </si>
  <si>
    <t>efektívna hodnota</t>
  </si>
  <si>
    <t>špička</t>
  </si>
  <si>
    <t>s</t>
  </si>
  <si>
    <t>ms</t>
  </si>
  <si>
    <t>rozdiel medzi vrcholmi signálu</t>
  </si>
  <si>
    <t xml:space="preserve">   7 Kirchhoffove zákony,</t>
  </si>
  <si>
    <t>Zdroj</t>
  </si>
  <si>
    <t>https://www.elso.sk/blog/technologie/co-je-to-true-rms-efektivna-a-stredna-hodnota</t>
  </si>
  <si>
    <t>4F</t>
  </si>
  <si>
    <t>stupeň</t>
  </si>
  <si>
    <t>radián</t>
  </si>
  <si>
    <t>https://www.justfreetools.com/sk/premena/konverzia-cisla/radians-to-degrees-converter?x=7</t>
  </si>
  <si>
    <t>Milí kolegovia, študenti.</t>
  </si>
  <si>
    <t xml:space="preserve"> 10 RLC obvody...</t>
  </si>
  <si>
    <t xml:space="preserve">   1 Ohmov zákon a Napäťový delič,</t>
  </si>
  <si>
    <t>Napätie celkové =</t>
  </si>
  <si>
    <t>Napätie na R1</t>
  </si>
  <si>
    <t>Odpor R1 =</t>
  </si>
  <si>
    <t>Napätie na R2</t>
  </si>
  <si>
    <t>Odpor R2 =</t>
  </si>
  <si>
    <t>Prúd pretekajúci obvodom</t>
  </si>
  <si>
    <t>Zo štítku elektromotora</t>
  </si>
  <si>
    <t>ot/s</t>
  </si>
  <si>
    <t>ot/min</t>
  </si>
  <si>
    <t xml:space="preserve">Otáčky za minútu = </t>
  </si>
  <si>
    <t>Otáčky za sekundu =</t>
  </si>
  <si>
    <t>kW</t>
  </si>
  <si>
    <t>cos φ</t>
  </si>
  <si>
    <t>Efektívne napätie v sieti =</t>
  </si>
  <si>
    <t>Maximálna hodnota napätia =</t>
  </si>
  <si>
    <t>Združené napätie =</t>
  </si>
  <si>
    <t>Fázové napätie =</t>
  </si>
  <si>
    <t>kVA</t>
  </si>
  <si>
    <t>Zdanlivý výkon (Pz)</t>
  </si>
  <si>
    <t>Činný výkon (P)</t>
  </si>
  <si>
    <t>Jalový výkon (PQ)</t>
  </si>
  <si>
    <t>U =</t>
  </si>
  <si>
    <t>I =</t>
  </si>
  <si>
    <t xml:space="preserve"> 15 Výpočty v sieti.</t>
  </si>
  <si>
    <t xml:space="preserve"> 14 Výpočty na elektromotore,</t>
  </si>
  <si>
    <t xml:space="preserve"> 13 Výpočty na sínusovke,</t>
  </si>
  <si>
    <t xml:space="preserve"> Na obmedzenie teploty oleja v hydraulickej nádrži sa má pri príliš vysokej teplote zapínať ventilátor.</t>
  </si>
  <si>
    <t xml:space="preserve"> Tento ventilátor je ovládaný pomocou relé K1 (R =</t>
  </si>
  <si>
    <t>Ω).</t>
  </si>
  <si>
    <t>mA.</t>
  </si>
  <si>
    <t xml:space="preserve"> Na akú hodnotu je potrebné nastaviť potenciometer R3, aby sa ventilátor zapínal pri teplote 60 °C?</t>
  </si>
  <si>
    <t xml:space="preserve"> Z grafu odpor NTC</t>
  </si>
  <si>
    <r>
      <t>Ω</t>
    </r>
    <r>
      <rPr>
        <sz val="12"/>
        <color theme="1"/>
        <rFont val="Tahoma"/>
        <family val="2"/>
        <charset val="238"/>
      </rPr>
      <t>.</t>
    </r>
  </si>
  <si>
    <t xml:space="preserve"> Napätie na K1</t>
  </si>
  <si>
    <t>*</t>
  </si>
  <si>
    <r>
      <rPr>
        <b/>
        <sz val="12"/>
        <color theme="1"/>
        <rFont val="Tahoma"/>
        <family val="2"/>
        <charset val="238"/>
      </rPr>
      <t>V</t>
    </r>
    <r>
      <rPr>
        <sz val="12"/>
        <color theme="1"/>
        <rFont val="Tahoma"/>
        <family val="2"/>
        <charset val="238"/>
      </rPr>
      <t>.</t>
    </r>
  </si>
  <si>
    <t xml:space="preserve">Relé pritiahne pri hodnote prúdu I2 </t>
  </si>
  <si>
    <t>15. apríla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</si>
</sst>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€_-;\-* #,##0.00\ _€_-;_-* &quot;-&quot;??\ _€_-;_-@_-"/>
    <numFmt numFmtId="164" formatCode="0.0"/>
    <numFmt numFmtId="165" formatCode="#,##0.0000000000"/>
    <numFmt numFmtId="166" formatCode="_-* #,##0.0000000\ _€_-;\-* #,##0.0000000\ _€_-;_-* &quot;-&quot;??\ _€_-;_-@_-"/>
    <numFmt numFmtId="167" formatCode="#,##0.000000000000"/>
    <numFmt numFmtId="168" formatCode="0.000000000000"/>
    <numFmt numFmtId="169" formatCode="_-* #,##0.0000\ _€_-;\-* #,##0.0000\ _€_-;_-* &quot;-&quot;??\ _€_-;_-@_-"/>
    <numFmt numFmtId="170" formatCode="0.000"/>
    <numFmt numFmtId="171" formatCode="_-* #,##0.000000000\ _€_-;\-* #,##0.000000000\ _€_-;_-* &quot;-&quot;??\ _€_-;_-@_-"/>
    <numFmt numFmtId="172" formatCode="0.0000"/>
    <numFmt numFmtId="173" formatCode="_-* #,##0.000\ _€_-;\-* #,##0.000\ _€_-;_-* &quot;-&quot;??\ _€_-;_-@_-"/>
  </numFmts>
  <fonts count="27" x14ac:knownFonts="1">
    <font>
      <sz val="11"/>
      <color theme="1"/>
      <name val="Calibri"/>
      <family val="2"/>
      <charset val="238"/>
      <scheme val="minor"/>
    </font>
    <font>
      <sz val="12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2"/>
      <color theme="1"/>
      <name val="Calibri"/>
      <family val="2"/>
      <charset val="238"/>
    </font>
    <font>
      <i/>
      <sz val="12"/>
      <color theme="1"/>
      <name val="Tahoma"/>
      <family val="2"/>
      <charset val="238"/>
    </font>
    <font>
      <b/>
      <i/>
      <sz val="12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0"/>
      <color theme="1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u/>
      <sz val="12"/>
      <color theme="10"/>
      <name val="Tahoma"/>
      <family val="2"/>
      <charset val="238"/>
    </font>
    <font>
      <i/>
      <sz val="11"/>
      <color theme="1"/>
      <name val="Tahoma"/>
      <family val="2"/>
      <charset val="238"/>
    </font>
    <font>
      <u/>
      <sz val="12"/>
      <color theme="1"/>
      <name val="Tahoma"/>
      <family val="2"/>
      <charset val="238"/>
    </font>
    <font>
      <sz val="48"/>
      <color theme="1"/>
      <name val="Tahoma"/>
      <family val="2"/>
      <charset val="238"/>
    </font>
    <font>
      <b/>
      <sz val="12"/>
      <color rgb="FFFF0000"/>
      <name val="Tahoma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20"/>
      <color theme="1"/>
      <name val="Tahoma"/>
      <family val="2"/>
      <charset val="238"/>
    </font>
    <font>
      <i/>
      <sz val="12"/>
      <color rgb="FFFF0000"/>
      <name val="Tahoma"/>
      <family val="2"/>
      <charset val="238"/>
    </font>
    <font>
      <i/>
      <sz val="11"/>
      <color rgb="FFFF0000"/>
      <name val="Tahoma"/>
      <family val="2"/>
      <charset val="238"/>
    </font>
    <font>
      <b/>
      <sz val="12"/>
      <color theme="4" tint="-0.249977111117893"/>
      <name val="Tahoma"/>
      <family val="2"/>
      <charset val="238"/>
    </font>
    <font>
      <b/>
      <i/>
      <sz val="12"/>
      <color theme="5" tint="-0.499984740745262"/>
      <name val="Tahoma"/>
      <family val="2"/>
      <charset val="238"/>
    </font>
    <font>
      <b/>
      <i/>
      <sz val="12"/>
      <color rgb="FF00B050"/>
      <name val="Tahoma"/>
      <family val="2"/>
      <charset val="238"/>
    </font>
    <font>
      <i/>
      <sz val="12"/>
      <color rgb="FF00B050"/>
      <name val="Tahoma"/>
      <family val="2"/>
      <charset val="238"/>
    </font>
    <font>
      <b/>
      <i/>
      <sz val="12"/>
      <color theme="4" tint="-0.249977111117893"/>
      <name val="Tahoma"/>
      <family val="2"/>
      <charset val="238"/>
    </font>
    <font>
      <i/>
      <sz val="12"/>
      <color theme="8" tint="-0.249977111117893"/>
      <name val="Tahoma"/>
      <family val="2"/>
      <charset val="238"/>
    </font>
    <font>
      <b/>
      <i/>
      <sz val="12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67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0" borderId="0" xfId="0" applyFont="1" applyFill="1"/>
    <xf numFmtId="0" fontId="1" fillId="0" borderId="0" xfId="0" applyFont="1" applyFill="1" applyBorder="1"/>
    <xf numFmtId="0" fontId="1" fillId="5" borderId="7" xfId="0" applyFont="1" applyFill="1" applyBorder="1"/>
    <xf numFmtId="0" fontId="1" fillId="5" borderId="8" xfId="0" applyFont="1" applyFill="1" applyBorder="1"/>
    <xf numFmtId="0" fontId="1" fillId="5" borderId="9" xfId="0" applyFont="1" applyFill="1" applyBorder="1"/>
    <xf numFmtId="0" fontId="1" fillId="5" borderId="1" xfId="0" applyFont="1" applyFill="1" applyBorder="1"/>
    <xf numFmtId="0" fontId="1" fillId="5" borderId="11" xfId="0" applyFont="1" applyFill="1" applyBorder="1"/>
    <xf numFmtId="0" fontId="1" fillId="5" borderId="6" xfId="0" applyFont="1" applyFill="1" applyBorder="1"/>
    <xf numFmtId="0" fontId="1" fillId="5" borderId="0" xfId="0" applyFont="1" applyFill="1" applyBorder="1"/>
    <xf numFmtId="0" fontId="3" fillId="5" borderId="0" xfId="0" applyFont="1" applyFill="1" applyBorder="1" applyAlignment="1">
      <alignment horizontal="center"/>
    </xf>
    <xf numFmtId="0" fontId="1" fillId="5" borderId="10" xfId="0" applyFont="1" applyFill="1" applyBorder="1"/>
    <xf numFmtId="0" fontId="1" fillId="5" borderId="5" xfId="0" applyFont="1" applyFill="1" applyBorder="1"/>
    <xf numFmtId="0" fontId="1" fillId="5" borderId="12" xfId="0" applyFont="1" applyFill="1" applyBorder="1"/>
    <xf numFmtId="0" fontId="1" fillId="5" borderId="13" xfId="0" applyFont="1" applyFill="1" applyBorder="1"/>
    <xf numFmtId="0" fontId="1" fillId="5" borderId="14" xfId="0" applyFont="1" applyFill="1" applyBorder="1"/>
    <xf numFmtId="0" fontId="1" fillId="5" borderId="15" xfId="0" applyFont="1" applyFill="1" applyBorder="1"/>
    <xf numFmtId="0" fontId="1" fillId="5" borderId="16" xfId="0" applyFont="1" applyFill="1" applyBorder="1"/>
    <xf numFmtId="0" fontId="2" fillId="5" borderId="0" xfId="0" applyFont="1" applyFill="1" applyBorder="1" applyAlignment="1">
      <alignment horizontal="center"/>
    </xf>
    <xf numFmtId="0" fontId="1" fillId="5" borderId="17" xfId="0" applyFont="1" applyFill="1" applyBorder="1"/>
    <xf numFmtId="0" fontId="1" fillId="5" borderId="18" xfId="0" applyFont="1" applyFill="1" applyBorder="1"/>
    <xf numFmtId="0" fontId="1" fillId="5" borderId="19" xfId="0" applyFont="1" applyFill="1" applyBorder="1"/>
    <xf numFmtId="0" fontId="5" fillId="5" borderId="0" xfId="0" applyFont="1" applyFill="1" applyBorder="1"/>
    <xf numFmtId="164" fontId="1" fillId="0" borderId="0" xfId="0" applyNumberFormat="1" applyFont="1"/>
    <xf numFmtId="0" fontId="1" fillId="5" borderId="20" xfId="0" applyFont="1" applyFill="1" applyBorder="1"/>
    <xf numFmtId="0" fontId="2" fillId="0" borderId="0" xfId="0" applyFont="1" applyFill="1" applyBorder="1" applyAlignment="1">
      <alignment horizontal="left"/>
    </xf>
    <xf numFmtId="0" fontId="1" fillId="3" borderId="0" xfId="0" applyFont="1" applyFill="1" applyBorder="1"/>
    <xf numFmtId="0" fontId="1" fillId="3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/>
    <xf numFmtId="43" fontId="4" fillId="0" borderId="0" xfId="1" applyFont="1" applyFill="1" applyBorder="1"/>
    <xf numFmtId="43" fontId="4" fillId="4" borderId="0" xfId="1" applyFont="1" applyFill="1" applyBorder="1"/>
    <xf numFmtId="43" fontId="4" fillId="4" borderId="0" xfId="1" applyFont="1" applyFill="1"/>
    <xf numFmtId="43" fontId="4" fillId="0" borderId="0" xfId="1" applyFont="1" applyFill="1"/>
    <xf numFmtId="43" fontId="4" fillId="0" borderId="0" xfId="1" applyFont="1"/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5" fillId="0" borderId="0" xfId="0" applyFont="1" applyFill="1"/>
    <xf numFmtId="0" fontId="5" fillId="0" borderId="0" xfId="0" applyFont="1"/>
    <xf numFmtId="0" fontId="1" fillId="0" borderId="0" xfId="0" applyFont="1" applyAlignment="1">
      <alignment horizontal="right"/>
    </xf>
    <xf numFmtId="0" fontId="1" fillId="6" borderId="0" xfId="0" applyFont="1" applyFill="1"/>
    <xf numFmtId="165" fontId="4" fillId="4" borderId="0" xfId="0" applyNumberFormat="1" applyFont="1" applyFill="1"/>
    <xf numFmtId="0" fontId="5" fillId="0" borderId="0" xfId="0" applyFont="1" applyFill="1" applyBorder="1" applyAlignment="1">
      <alignment horizontal="center"/>
    </xf>
    <xf numFmtId="166" fontId="4" fillId="4" borderId="0" xfId="1" applyNumberFormat="1" applyFont="1" applyFill="1"/>
    <xf numFmtId="0" fontId="8" fillId="0" borderId="0" xfId="0" applyFont="1"/>
    <xf numFmtId="0" fontId="4" fillId="4" borderId="0" xfId="0" applyFont="1" applyFill="1"/>
    <xf numFmtId="0" fontId="4" fillId="0" borderId="0" xfId="0" applyFont="1"/>
    <xf numFmtId="0" fontId="2" fillId="0" borderId="0" xfId="0" applyFont="1" applyAlignment="1">
      <alignment horizontal="left"/>
    </xf>
    <xf numFmtId="167" fontId="8" fillId="0" borderId="0" xfId="0" applyNumberFormat="1" applyFont="1"/>
    <xf numFmtId="168" fontId="1" fillId="0" borderId="0" xfId="0" applyNumberFormat="1" applyFont="1"/>
    <xf numFmtId="15" fontId="1" fillId="0" borderId="0" xfId="0" applyNumberFormat="1" applyFont="1"/>
    <xf numFmtId="0" fontId="1" fillId="0" borderId="0" xfId="0" applyFont="1" applyAlignment="1">
      <alignment horizontal="center"/>
    </xf>
    <xf numFmtId="2" fontId="8" fillId="0" borderId="0" xfId="0" applyNumberFormat="1" applyFont="1"/>
    <xf numFmtId="49" fontId="4" fillId="0" borderId="0" xfId="0" applyNumberFormat="1" applyFont="1" applyAlignment="1">
      <alignment horizontal="right"/>
    </xf>
    <xf numFmtId="0" fontId="4" fillId="5" borderId="12" xfId="0" applyFont="1" applyFill="1" applyBorder="1"/>
    <xf numFmtId="0" fontId="4" fillId="5" borderId="13" xfId="0" applyFont="1" applyFill="1" applyBorder="1"/>
    <xf numFmtId="0" fontId="4" fillId="5" borderId="14" xfId="0" applyFont="1" applyFill="1" applyBorder="1"/>
    <xf numFmtId="0" fontId="4" fillId="5" borderId="15" xfId="0" applyFont="1" applyFill="1" applyBorder="1" applyAlignment="1">
      <alignment horizontal="right"/>
    </xf>
    <xf numFmtId="0" fontId="4" fillId="5" borderId="0" xfId="0" applyFont="1" applyFill="1" applyBorder="1"/>
    <xf numFmtId="0" fontId="4" fillId="5" borderId="16" xfId="0" applyFont="1" applyFill="1" applyBorder="1"/>
    <xf numFmtId="0" fontId="4" fillId="5" borderId="15" xfId="0" applyFont="1" applyFill="1" applyBorder="1"/>
    <xf numFmtId="0" fontId="4" fillId="5" borderId="15" xfId="0" applyFont="1" applyFill="1" applyBorder="1" applyAlignment="1">
      <alignment horizontal="center"/>
    </xf>
    <xf numFmtId="0" fontId="4" fillId="5" borderId="17" xfId="0" applyFont="1" applyFill="1" applyBorder="1"/>
    <xf numFmtId="0" fontId="4" fillId="5" borderId="18" xfId="0" applyFont="1" applyFill="1" applyBorder="1"/>
    <xf numFmtId="0" fontId="4" fillId="5" borderId="19" xfId="0" applyFont="1" applyFill="1" applyBorder="1"/>
    <xf numFmtId="0" fontId="10" fillId="5" borderId="15" xfId="2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9" fillId="0" borderId="0" xfId="2"/>
    <xf numFmtId="169" fontId="1" fillId="0" borderId="0" xfId="0" applyNumberFormat="1" applyFont="1"/>
    <xf numFmtId="169" fontId="4" fillId="4" borderId="0" xfId="0" applyNumberFormat="1" applyFont="1" applyFill="1"/>
    <xf numFmtId="164" fontId="1" fillId="5" borderId="16" xfId="0" applyNumberFormat="1" applyFont="1" applyFill="1" applyBorder="1"/>
    <xf numFmtId="0" fontId="1" fillId="0" borderId="15" xfId="0" applyFont="1" applyBorder="1"/>
    <xf numFmtId="0" fontId="5" fillId="0" borderId="0" xfId="0" applyFont="1" applyBorder="1"/>
    <xf numFmtId="0" fontId="1" fillId="5" borderId="0" xfId="0" applyFont="1" applyFill="1" applyBorder="1" applyAlignment="1">
      <alignment horizontal="center"/>
    </xf>
    <xf numFmtId="0" fontId="1" fillId="0" borderId="13" xfId="0" applyFont="1" applyBorder="1"/>
    <xf numFmtId="0" fontId="4" fillId="4" borderId="0" xfId="0" applyFont="1" applyFill="1" applyBorder="1"/>
    <xf numFmtId="0" fontId="1" fillId="0" borderId="18" xfId="0" applyFont="1" applyBorder="1"/>
    <xf numFmtId="0" fontId="1" fillId="7" borderId="0" xfId="0" applyFont="1" applyFill="1" applyBorder="1"/>
    <xf numFmtId="0" fontId="1" fillId="5" borderId="0" xfId="0" applyFont="1" applyFill="1" applyBorder="1" applyAlignment="1">
      <alignment horizontal="right"/>
    </xf>
    <xf numFmtId="0" fontId="2" fillId="5" borderId="0" xfId="0" applyFont="1" applyFill="1" applyBorder="1"/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1" xfId="0" applyFont="1" applyBorder="1"/>
    <xf numFmtId="0" fontId="1" fillId="5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9" fontId="11" fillId="4" borderId="0" xfId="0" applyNumberFormat="1" applyFont="1" applyFill="1"/>
    <xf numFmtId="49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2" fillId="5" borderId="1" xfId="0" applyFont="1" applyFill="1" applyBorder="1"/>
    <xf numFmtId="0" fontId="1" fillId="7" borderId="7" xfId="0" applyFont="1" applyFill="1" applyBorder="1"/>
    <xf numFmtId="0" fontId="1" fillId="7" borderId="8" xfId="0" applyFont="1" applyFill="1" applyBorder="1"/>
    <xf numFmtId="0" fontId="1" fillId="7" borderId="9" xfId="0" applyFont="1" applyFill="1" applyBorder="1"/>
    <xf numFmtId="0" fontId="1" fillId="7" borderId="6" xfId="0" applyFont="1" applyFill="1" applyBorder="1"/>
    <xf numFmtId="0" fontId="1" fillId="7" borderId="0" xfId="0" applyFont="1" applyFill="1" applyBorder="1" applyAlignment="1">
      <alignment horizontal="center" vertical="center"/>
    </xf>
    <xf numFmtId="0" fontId="1" fillId="7" borderId="10" xfId="0" applyFont="1" applyFill="1" applyBorder="1"/>
    <xf numFmtId="0" fontId="1" fillId="7" borderId="5" xfId="0" applyFont="1" applyFill="1" applyBorder="1"/>
    <xf numFmtId="0" fontId="1" fillId="7" borderId="1" xfId="0" applyFont="1" applyFill="1" applyBorder="1"/>
    <xf numFmtId="0" fontId="1" fillId="7" borderId="11" xfId="0" applyFont="1" applyFill="1" applyBorder="1"/>
    <xf numFmtId="49" fontId="1" fillId="7" borderId="0" xfId="0" applyNumberFormat="1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right"/>
    </xf>
    <xf numFmtId="0" fontId="1" fillId="5" borderId="15" xfId="0" applyFont="1" applyFill="1" applyBorder="1" applyAlignment="1">
      <alignment horizontal="right"/>
    </xf>
    <xf numFmtId="0" fontId="1" fillId="5" borderId="17" xfId="0" applyFont="1" applyFill="1" applyBorder="1" applyAlignment="1">
      <alignment horizontal="right"/>
    </xf>
    <xf numFmtId="49" fontId="1" fillId="5" borderId="16" xfId="0" applyNumberFormat="1" applyFont="1" applyFill="1" applyBorder="1"/>
    <xf numFmtId="49" fontId="1" fillId="5" borderId="19" xfId="0" applyNumberFormat="1" applyFont="1" applyFill="1" applyBorder="1"/>
    <xf numFmtId="49" fontId="1" fillId="0" borderId="0" xfId="0" applyNumberFormat="1" applyFont="1" applyFill="1" applyBorder="1"/>
    <xf numFmtId="49" fontId="1" fillId="0" borderId="0" xfId="0" applyNumberFormat="1" applyFont="1" applyFill="1"/>
    <xf numFmtId="49" fontId="1" fillId="5" borderId="14" xfId="0" applyNumberFormat="1" applyFont="1" applyFill="1" applyBorder="1"/>
    <xf numFmtId="49" fontId="1" fillId="0" borderId="0" xfId="0" applyNumberFormat="1" applyFont="1"/>
    <xf numFmtId="49" fontId="1" fillId="5" borderId="15" xfId="0" applyNumberFormat="1" applyFont="1" applyFill="1" applyBorder="1" applyAlignment="1">
      <alignment horizontal="right"/>
    </xf>
    <xf numFmtId="0" fontId="1" fillId="7" borderId="21" xfId="0" applyFont="1" applyFill="1" applyBorder="1" applyAlignment="1">
      <alignment horizontal="center"/>
    </xf>
    <xf numFmtId="0" fontId="1" fillId="7" borderId="21" xfId="0" applyFont="1" applyFill="1" applyBorder="1"/>
    <xf numFmtId="0" fontId="1" fillId="8" borderId="21" xfId="0" applyFont="1" applyFill="1" applyBorder="1" applyAlignment="1">
      <alignment horizontal="center"/>
    </xf>
    <xf numFmtId="0" fontId="4" fillId="7" borderId="21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14" fillId="0" borderId="0" xfId="0" applyFont="1" applyBorder="1" applyAlignment="1"/>
    <xf numFmtId="0" fontId="4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3" xfId="0" applyFont="1" applyFill="1" applyBorder="1"/>
    <xf numFmtId="0" fontId="1" fillId="5" borderId="0" xfId="0" applyFont="1" applyFill="1" applyBorder="1" applyAlignment="1">
      <alignment horizontal="right" vertical="center"/>
    </xf>
    <xf numFmtId="0" fontId="1" fillId="5" borderId="15" xfId="0" applyFont="1" applyFill="1" applyBorder="1" applyAlignment="1">
      <alignment horizontal="right" vertical="center"/>
    </xf>
    <xf numFmtId="0" fontId="1" fillId="5" borderId="22" xfId="0" applyFont="1" applyFill="1" applyBorder="1"/>
    <xf numFmtId="0" fontId="1" fillId="5" borderId="23" xfId="0" applyFont="1" applyFill="1" applyBorder="1"/>
    <xf numFmtId="0" fontId="4" fillId="5" borderId="0" xfId="0" applyFont="1" applyFill="1" applyBorder="1" applyAlignment="1">
      <alignment horizontal="right"/>
    </xf>
    <xf numFmtId="0" fontId="4" fillId="5" borderId="0" xfId="0" applyFont="1" applyFill="1" applyBorder="1" applyAlignment="1">
      <alignment horizontal="center" vertical="center"/>
    </xf>
    <xf numFmtId="0" fontId="1" fillId="0" borderId="7" xfId="0" applyFont="1" applyBorder="1"/>
    <xf numFmtId="0" fontId="1" fillId="0" borderId="6" xfId="0" applyFont="1" applyBorder="1"/>
    <xf numFmtId="0" fontId="1" fillId="0" borderId="11" xfId="0" applyFont="1" applyBorder="1"/>
    <xf numFmtId="0" fontId="4" fillId="5" borderId="1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left" vertical="center"/>
    </xf>
    <xf numFmtId="49" fontId="4" fillId="5" borderId="0" xfId="0" applyNumberFormat="1" applyFont="1" applyFill="1" applyBorder="1" applyAlignment="1">
      <alignment horizontal="left" vertical="center"/>
    </xf>
    <xf numFmtId="0" fontId="1" fillId="0" borderId="17" xfId="0" applyFont="1" applyBorder="1" applyAlignment="1">
      <alignment horizontal="right"/>
    </xf>
    <xf numFmtId="0" fontId="1" fillId="0" borderId="20" xfId="0" applyFont="1" applyBorder="1"/>
    <xf numFmtId="0" fontId="1" fillId="3" borderId="0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0" borderId="1" xfId="0" applyFont="1" applyFill="1" applyBorder="1"/>
    <xf numFmtId="0" fontId="4" fillId="4" borderId="5" xfId="0" applyFont="1" applyFill="1" applyBorder="1" applyAlignment="1">
      <alignment horizontal="center"/>
    </xf>
    <xf numFmtId="0" fontId="1" fillId="0" borderId="16" xfId="0" applyFont="1" applyBorder="1"/>
    <xf numFmtId="0" fontId="4" fillId="0" borderId="0" xfId="0" applyFont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49" fontId="4" fillId="5" borderId="1" xfId="0" applyNumberFormat="1" applyFont="1" applyFill="1" applyBorder="1"/>
    <xf numFmtId="0" fontId="1" fillId="8" borderId="21" xfId="0" applyFont="1" applyFill="1" applyBorder="1"/>
    <xf numFmtId="0" fontId="4" fillId="4" borderId="5" xfId="0" applyFont="1" applyFill="1" applyBorder="1"/>
    <xf numFmtId="0" fontId="4" fillId="4" borderId="1" xfId="0" applyFont="1" applyFill="1" applyBorder="1"/>
    <xf numFmtId="0" fontId="1" fillId="0" borderId="0" xfId="0" applyFont="1" applyBorder="1" applyAlignment="1">
      <alignment horizontal="right"/>
    </xf>
    <xf numFmtId="0" fontId="4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right"/>
    </xf>
    <xf numFmtId="0" fontId="1" fillId="5" borderId="5" xfId="0" applyFont="1" applyFill="1" applyBorder="1" applyAlignment="1">
      <alignment horizontal="right"/>
    </xf>
    <xf numFmtId="0" fontId="1" fillId="5" borderId="3" xfId="0" applyFont="1" applyFill="1" applyBorder="1" applyAlignment="1">
      <alignment horizontal="right"/>
    </xf>
    <xf numFmtId="49" fontId="4" fillId="5" borderId="1" xfId="0" applyNumberFormat="1" applyFont="1" applyFill="1" applyBorder="1" applyAlignment="1">
      <alignment horizontal="left"/>
    </xf>
    <xf numFmtId="0" fontId="1" fillId="5" borderId="0" xfId="0" applyFont="1" applyFill="1" applyBorder="1" applyAlignment="1">
      <alignment horizontal="left"/>
    </xf>
    <xf numFmtId="0" fontId="4" fillId="4" borderId="11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71" fontId="4" fillId="4" borderId="0" xfId="1" applyNumberFormat="1" applyFont="1" applyFill="1"/>
    <xf numFmtId="0" fontId="1" fillId="3" borderId="0" xfId="0" applyFont="1" applyFill="1" applyBorder="1" applyAlignment="1">
      <alignment horizontal="center"/>
    </xf>
    <xf numFmtId="2" fontId="4" fillId="4" borderId="0" xfId="0" applyNumberFormat="1" applyFont="1" applyFill="1" applyBorder="1" applyAlignment="1">
      <alignment horizontal="center"/>
    </xf>
    <xf numFmtId="0" fontId="1" fillId="5" borderId="6" xfId="0" applyFont="1" applyFill="1" applyBorder="1" applyAlignment="1">
      <alignment horizontal="right"/>
    </xf>
    <xf numFmtId="0" fontId="1" fillId="3" borderId="0" xfId="0" applyFont="1" applyFill="1" applyBorder="1" applyAlignment="1">
      <alignment horizontal="center"/>
    </xf>
    <xf numFmtId="0" fontId="2" fillId="0" borderId="0" xfId="0" applyFont="1" applyBorder="1"/>
    <xf numFmtId="0" fontId="2" fillId="7" borderId="10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1" fillId="5" borderId="24" xfId="0" applyFont="1" applyFill="1" applyBorder="1"/>
    <xf numFmtId="0" fontId="16" fillId="5" borderId="0" xfId="0" applyFont="1" applyFill="1" applyBorder="1" applyAlignment="1">
      <alignment horizontal="center" vertical="top"/>
    </xf>
    <xf numFmtId="0" fontId="16" fillId="5" borderId="1" xfId="0" applyFont="1" applyFill="1" applyBorder="1" applyAlignment="1">
      <alignment horizontal="center" vertical="top"/>
    </xf>
    <xf numFmtId="0" fontId="18" fillId="5" borderId="0" xfId="0" applyFont="1" applyFill="1" applyBorder="1" applyAlignment="1">
      <alignment horizontal="left"/>
    </xf>
    <xf numFmtId="0" fontId="17" fillId="0" borderId="0" xfId="0" applyFont="1"/>
    <xf numFmtId="0" fontId="4" fillId="4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2" fontId="4" fillId="4" borderId="0" xfId="0" applyNumberFormat="1" applyFont="1" applyFill="1" applyBorder="1" applyAlignment="1">
      <alignment horizontal="right" vertical="center"/>
    </xf>
    <xf numFmtId="0" fontId="1" fillId="5" borderId="13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right" vertical="center"/>
    </xf>
    <xf numFmtId="0" fontId="5" fillId="5" borderId="13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right" vertical="center"/>
    </xf>
    <xf numFmtId="0" fontId="5" fillId="5" borderId="18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0" fontId="20" fillId="5" borderId="0" xfId="0" applyFont="1" applyFill="1" applyBorder="1"/>
    <xf numFmtId="0" fontId="21" fillId="5" borderId="0" xfId="0" applyFont="1" applyFill="1" applyBorder="1" applyAlignment="1">
      <alignment horizontal="center"/>
    </xf>
    <xf numFmtId="0" fontId="22" fillId="5" borderId="0" xfId="0" applyFont="1" applyFill="1" applyBorder="1" applyAlignment="1">
      <alignment horizontal="center"/>
    </xf>
    <xf numFmtId="0" fontId="22" fillId="5" borderId="16" xfId="0" applyFont="1" applyFill="1" applyBorder="1"/>
    <xf numFmtId="0" fontId="23" fillId="5" borderId="0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16" xfId="0" applyFont="1" applyFill="1" applyBorder="1"/>
    <xf numFmtId="0" fontId="25" fillId="5" borderId="0" xfId="0" applyFont="1" applyFill="1" applyBorder="1" applyAlignment="1">
      <alignment horizontal="center"/>
    </xf>
    <xf numFmtId="0" fontId="17" fillId="5" borderId="0" xfId="0" applyFont="1" applyFill="1" applyBorder="1" applyAlignment="1">
      <alignment horizontal="center"/>
    </xf>
    <xf numFmtId="0" fontId="17" fillId="5" borderId="16" xfId="0" applyFont="1" applyFill="1" applyBorder="1"/>
    <xf numFmtId="2" fontId="4" fillId="4" borderId="0" xfId="0" applyNumberFormat="1" applyFont="1" applyFill="1" applyBorder="1"/>
    <xf numFmtId="0" fontId="19" fillId="5" borderId="0" xfId="0" applyFont="1" applyFill="1" applyBorder="1" applyAlignment="1">
      <alignment horizontal="center"/>
    </xf>
    <xf numFmtId="172" fontId="4" fillId="4" borderId="0" xfId="0" applyNumberFormat="1" applyFont="1" applyFill="1"/>
    <xf numFmtId="0" fontId="9" fillId="0" borderId="0" xfId="2" applyAlignment="1">
      <alignment horizontal="left"/>
    </xf>
    <xf numFmtId="0" fontId="17" fillId="5" borderId="0" xfId="0" applyFont="1" applyFill="1" applyBorder="1"/>
    <xf numFmtId="173" fontId="4" fillId="4" borderId="0" xfId="1" applyNumberFormat="1" applyFont="1" applyFill="1"/>
    <xf numFmtId="0" fontId="7" fillId="5" borderId="0" xfId="0" applyFont="1" applyFill="1" applyBorder="1" applyAlignment="1">
      <alignment horizontal="center"/>
    </xf>
    <xf numFmtId="0" fontId="25" fillId="5" borderId="0" xfId="0" applyFont="1" applyFill="1" applyBorder="1" applyAlignment="1">
      <alignment horizontal="right"/>
    </xf>
    <xf numFmtId="0" fontId="25" fillId="5" borderId="0" xfId="0" applyFont="1" applyFill="1" applyBorder="1" applyAlignment="1">
      <alignment horizontal="left"/>
    </xf>
    <xf numFmtId="49" fontId="1" fillId="5" borderId="0" xfId="0" applyNumberFormat="1" applyFont="1" applyFill="1" applyBorder="1"/>
    <xf numFmtId="49" fontId="1" fillId="5" borderId="18" xfId="0" applyNumberFormat="1" applyFont="1" applyFill="1" applyBorder="1"/>
    <xf numFmtId="49" fontId="4" fillId="5" borderId="0" xfId="0" applyNumberFormat="1" applyFont="1" applyFill="1" applyBorder="1" applyAlignment="1">
      <alignment horizontal="center" vertical="center"/>
    </xf>
    <xf numFmtId="0" fontId="1" fillId="4" borderId="0" xfId="0" applyFont="1" applyFill="1" applyBorder="1"/>
    <xf numFmtId="0" fontId="4" fillId="4" borderId="0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1" fontId="1" fillId="3" borderId="0" xfId="0" applyNumberFormat="1" applyFont="1" applyFill="1" applyBorder="1"/>
    <xf numFmtId="0" fontId="3" fillId="5" borderId="0" xfId="0" applyFont="1" applyFill="1" applyBorder="1"/>
    <xf numFmtId="164" fontId="1" fillId="3" borderId="0" xfId="0" applyNumberFormat="1" applyFont="1" applyFill="1" applyBorder="1"/>
    <xf numFmtId="164" fontId="4" fillId="4" borderId="0" xfId="0" applyNumberFormat="1" applyFont="1" applyFill="1" applyBorder="1"/>
    <xf numFmtId="0" fontId="5" fillId="4" borderId="0" xfId="0" applyFont="1" applyFill="1" applyBorder="1"/>
    <xf numFmtId="2" fontId="4" fillId="9" borderId="0" xfId="0" applyNumberFormat="1" applyFont="1" applyFill="1" applyBorder="1" applyAlignment="1">
      <alignment horizontal="right" vertical="center"/>
    </xf>
    <xf numFmtId="0" fontId="4" fillId="9" borderId="0" xfId="0" applyFont="1" applyFill="1" applyAlignment="1">
      <alignment horizontal="right"/>
    </xf>
    <xf numFmtId="0" fontId="4" fillId="9" borderId="0" xfId="0" applyFont="1" applyFill="1" applyAlignment="1">
      <alignment horizontal="left"/>
    </xf>
    <xf numFmtId="0" fontId="4" fillId="9" borderId="0" xfId="0" applyFont="1" applyFill="1"/>
    <xf numFmtId="169" fontId="11" fillId="9" borderId="0" xfId="1" applyNumberFormat="1" applyFont="1" applyFill="1"/>
    <xf numFmtId="169" fontId="4" fillId="9" borderId="0" xfId="0" applyNumberFormat="1" applyFont="1" applyFill="1"/>
    <xf numFmtId="0" fontId="4" fillId="9" borderId="0" xfId="0" applyFont="1" applyFill="1" applyBorder="1"/>
    <xf numFmtId="164" fontId="4" fillId="9" borderId="0" xfId="0" applyNumberFormat="1" applyFont="1" applyFill="1" applyBorder="1"/>
    <xf numFmtId="0" fontId="5" fillId="9" borderId="0" xfId="0" applyFont="1" applyFill="1" applyBorder="1"/>
    <xf numFmtId="0" fontId="2" fillId="5" borderId="0" xfId="0" applyFont="1" applyFill="1" applyBorder="1" applyAlignment="1">
      <alignment horizontal="left"/>
    </xf>
    <xf numFmtId="0" fontId="5" fillId="5" borderId="0" xfId="0" applyFont="1" applyFill="1" applyBorder="1" applyAlignment="1">
      <alignment horizontal="left"/>
    </xf>
    <xf numFmtId="0" fontId="1" fillId="5" borderId="0" xfId="0" applyFont="1" applyFill="1" applyBorder="1" applyAlignment="1">
      <alignment horizontal="center"/>
    </xf>
    <xf numFmtId="0" fontId="5" fillId="9" borderId="0" xfId="0" applyFont="1" applyFill="1" applyBorder="1" applyAlignment="1">
      <alignment horizontal="left" vertical="center"/>
    </xf>
    <xf numFmtId="1" fontId="4" fillId="9" borderId="0" xfId="0" applyNumberFormat="1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170" fontId="11" fillId="4" borderId="0" xfId="0" applyNumberFormat="1" applyFont="1" applyFill="1" applyBorder="1" applyAlignment="1">
      <alignment horizontal="center"/>
    </xf>
    <xf numFmtId="170" fontId="4" fillId="4" borderId="0" xfId="0" applyNumberFormat="1" applyFont="1" applyFill="1" applyBorder="1" applyAlignment="1">
      <alignment horizontal="center"/>
    </xf>
    <xf numFmtId="0" fontId="4" fillId="5" borderId="0" xfId="0" applyFont="1" applyFill="1" applyBorder="1" applyAlignment="1">
      <alignment horizontal="right"/>
    </xf>
    <xf numFmtId="49" fontId="4" fillId="5" borderId="16" xfId="0" applyNumberFormat="1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49" fontId="1" fillId="5" borderId="15" xfId="0" applyNumberFormat="1" applyFont="1" applyFill="1" applyBorder="1" applyAlignment="1">
      <alignment horizontal="right" vertical="center"/>
    </xf>
    <xf numFmtId="49" fontId="4" fillId="5" borderId="0" xfId="0" applyNumberFormat="1" applyFont="1" applyFill="1" applyBorder="1" applyAlignment="1">
      <alignment horizontal="left" vertical="center"/>
    </xf>
    <xf numFmtId="49" fontId="15" fillId="5" borderId="0" xfId="0" applyNumberFormat="1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right" vertical="center"/>
    </xf>
    <xf numFmtId="0" fontId="4" fillId="5" borderId="0" xfId="0" applyFont="1" applyFill="1" applyBorder="1" applyAlignment="1">
      <alignment horizontal="right" vertical="center"/>
    </xf>
    <xf numFmtId="0" fontId="4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2" fontId="4" fillId="4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2" fontId="4" fillId="4" borderId="0" xfId="0" applyNumberFormat="1" applyFont="1" applyFill="1" applyBorder="1" applyAlignment="1">
      <alignment horizontal="right" vertical="center"/>
    </xf>
    <xf numFmtId="0" fontId="21" fillId="5" borderId="0" xfId="0" applyFont="1" applyFill="1" applyBorder="1" applyAlignment="1">
      <alignment horizontal="center" vertical="center"/>
    </xf>
    <xf numFmtId="0" fontId="22" fillId="5" borderId="0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 wrapText="1"/>
    </xf>
    <xf numFmtId="2" fontId="4" fillId="4" borderId="0" xfId="0" applyNumberFormat="1" applyFont="1" applyFill="1" applyBorder="1" applyAlignment="1">
      <alignment horizontal="center"/>
    </xf>
    <xf numFmtId="164" fontId="4" fillId="4" borderId="0" xfId="0" applyNumberFormat="1" applyFont="1" applyFill="1" applyBorder="1" applyAlignment="1">
      <alignment horizontal="right"/>
    </xf>
    <xf numFmtId="0" fontId="1" fillId="3" borderId="0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center"/>
    </xf>
    <xf numFmtId="0" fontId="26" fillId="5" borderId="0" xfId="0" applyFont="1" applyFill="1" applyBorder="1"/>
  </cellXfs>
  <cellStyles count="3">
    <cellStyle name="Čiarka" xfId="1" builtinId="3"/>
    <cellStyle name="Hypertextové prepojenie" xfId="2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228600</xdr:colOff>
      <xdr:row>13</xdr:row>
      <xdr:rowOff>19050</xdr:rowOff>
    </xdr:from>
    <xdr:to>
      <xdr:col>28</xdr:col>
      <xdr:colOff>53700</xdr:colOff>
      <xdr:row>21</xdr:row>
      <xdr:rowOff>187050</xdr:rowOff>
    </xdr:to>
    <xdr:sp macro="" textlink="">
      <xdr:nvSpPr>
        <xdr:cNvPr id="2" name="Ovál 1"/>
        <xdr:cNvSpPr/>
      </xdr:nvSpPr>
      <xdr:spPr>
        <a:xfrm>
          <a:off x="6896100" y="2876550"/>
          <a:ext cx="1692000" cy="169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33</xdr:col>
      <xdr:colOff>228600</xdr:colOff>
      <xdr:row>44</xdr:row>
      <xdr:rowOff>19050</xdr:rowOff>
    </xdr:from>
    <xdr:to>
      <xdr:col>40</xdr:col>
      <xdr:colOff>53700</xdr:colOff>
      <xdr:row>52</xdr:row>
      <xdr:rowOff>187050</xdr:rowOff>
    </xdr:to>
    <xdr:sp macro="" textlink="">
      <xdr:nvSpPr>
        <xdr:cNvPr id="3" name="Ovál 2"/>
        <xdr:cNvSpPr/>
      </xdr:nvSpPr>
      <xdr:spPr>
        <a:xfrm>
          <a:off x="6896100" y="2895600"/>
          <a:ext cx="1692000" cy="169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21</xdr:col>
      <xdr:colOff>228600</xdr:colOff>
      <xdr:row>83</xdr:row>
      <xdr:rowOff>19050</xdr:rowOff>
    </xdr:from>
    <xdr:to>
      <xdr:col>28</xdr:col>
      <xdr:colOff>53700</xdr:colOff>
      <xdr:row>91</xdr:row>
      <xdr:rowOff>187050</xdr:rowOff>
    </xdr:to>
    <xdr:sp macro="" textlink="">
      <xdr:nvSpPr>
        <xdr:cNvPr id="4" name="Ovál 3"/>
        <xdr:cNvSpPr/>
      </xdr:nvSpPr>
      <xdr:spPr>
        <a:xfrm>
          <a:off x="6896100" y="2895600"/>
          <a:ext cx="1692000" cy="169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19</xdr:col>
      <xdr:colOff>200025</xdr:colOff>
      <xdr:row>65</xdr:row>
      <xdr:rowOff>123825</xdr:rowOff>
    </xdr:from>
    <xdr:to>
      <xdr:col>20</xdr:col>
      <xdr:colOff>77325</xdr:colOff>
      <xdr:row>66</xdr:row>
      <xdr:rowOff>67800</xdr:rowOff>
    </xdr:to>
    <xdr:sp macro="" textlink="">
      <xdr:nvSpPr>
        <xdr:cNvPr id="5" name="Ovál 4"/>
        <xdr:cNvSpPr/>
      </xdr:nvSpPr>
      <xdr:spPr>
        <a:xfrm>
          <a:off x="6334125" y="13706475"/>
          <a:ext cx="144000" cy="144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8</xdr:col>
      <xdr:colOff>200025</xdr:colOff>
      <xdr:row>65</xdr:row>
      <xdr:rowOff>133350</xdr:rowOff>
    </xdr:from>
    <xdr:to>
      <xdr:col>9</xdr:col>
      <xdr:colOff>77325</xdr:colOff>
      <xdr:row>66</xdr:row>
      <xdr:rowOff>77325</xdr:rowOff>
    </xdr:to>
    <xdr:sp macro="" textlink="">
      <xdr:nvSpPr>
        <xdr:cNvPr id="6" name="Ovál 5"/>
        <xdr:cNvSpPr/>
      </xdr:nvSpPr>
      <xdr:spPr>
        <a:xfrm>
          <a:off x="3400425" y="13716000"/>
          <a:ext cx="144000" cy="144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21</xdr:col>
      <xdr:colOff>228600</xdr:colOff>
      <xdr:row>126</xdr:row>
      <xdr:rowOff>19050</xdr:rowOff>
    </xdr:from>
    <xdr:to>
      <xdr:col>28</xdr:col>
      <xdr:colOff>53700</xdr:colOff>
      <xdr:row>134</xdr:row>
      <xdr:rowOff>187050</xdr:rowOff>
    </xdr:to>
    <xdr:sp macro="" textlink="">
      <xdr:nvSpPr>
        <xdr:cNvPr id="7" name="Ovál 6"/>
        <xdr:cNvSpPr/>
      </xdr:nvSpPr>
      <xdr:spPr>
        <a:xfrm>
          <a:off x="5829300" y="16678275"/>
          <a:ext cx="1692000" cy="169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19</xdr:col>
      <xdr:colOff>200025</xdr:colOff>
      <xdr:row>104</xdr:row>
      <xdr:rowOff>123825</xdr:rowOff>
    </xdr:from>
    <xdr:to>
      <xdr:col>20</xdr:col>
      <xdr:colOff>77325</xdr:colOff>
      <xdr:row>105</xdr:row>
      <xdr:rowOff>67800</xdr:rowOff>
    </xdr:to>
    <xdr:sp macro="" textlink="">
      <xdr:nvSpPr>
        <xdr:cNvPr id="8" name="Ovál 7"/>
        <xdr:cNvSpPr/>
      </xdr:nvSpPr>
      <xdr:spPr>
        <a:xfrm>
          <a:off x="5267325" y="13335000"/>
          <a:ext cx="144000" cy="144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8</xdr:col>
      <xdr:colOff>200025</xdr:colOff>
      <xdr:row>104</xdr:row>
      <xdr:rowOff>133350</xdr:rowOff>
    </xdr:from>
    <xdr:to>
      <xdr:col>9</xdr:col>
      <xdr:colOff>77325</xdr:colOff>
      <xdr:row>105</xdr:row>
      <xdr:rowOff>77325</xdr:rowOff>
    </xdr:to>
    <xdr:sp macro="" textlink="">
      <xdr:nvSpPr>
        <xdr:cNvPr id="9" name="Ovál 8"/>
        <xdr:cNvSpPr/>
      </xdr:nvSpPr>
      <xdr:spPr>
        <a:xfrm>
          <a:off x="2333625" y="13344525"/>
          <a:ext cx="144000" cy="144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19</xdr:col>
      <xdr:colOff>200025</xdr:colOff>
      <xdr:row>109</xdr:row>
      <xdr:rowOff>123825</xdr:rowOff>
    </xdr:from>
    <xdr:to>
      <xdr:col>20</xdr:col>
      <xdr:colOff>77325</xdr:colOff>
      <xdr:row>110</xdr:row>
      <xdr:rowOff>67800</xdr:rowOff>
    </xdr:to>
    <xdr:sp macro="" textlink="">
      <xdr:nvSpPr>
        <xdr:cNvPr id="10" name="Ovál 9"/>
        <xdr:cNvSpPr/>
      </xdr:nvSpPr>
      <xdr:spPr>
        <a:xfrm>
          <a:off x="5267325" y="21764625"/>
          <a:ext cx="144000" cy="144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8</xdr:col>
      <xdr:colOff>190500</xdr:colOff>
      <xdr:row>109</xdr:row>
      <xdr:rowOff>133350</xdr:rowOff>
    </xdr:from>
    <xdr:to>
      <xdr:col>9</xdr:col>
      <xdr:colOff>67800</xdr:colOff>
      <xdr:row>110</xdr:row>
      <xdr:rowOff>77325</xdr:rowOff>
    </xdr:to>
    <xdr:sp macro="" textlink="">
      <xdr:nvSpPr>
        <xdr:cNvPr id="11" name="Ovál 10"/>
        <xdr:cNvSpPr/>
      </xdr:nvSpPr>
      <xdr:spPr>
        <a:xfrm>
          <a:off x="2324100" y="21774150"/>
          <a:ext cx="144000" cy="144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33</xdr:col>
      <xdr:colOff>228600</xdr:colOff>
      <xdr:row>152</xdr:row>
      <xdr:rowOff>19050</xdr:rowOff>
    </xdr:from>
    <xdr:to>
      <xdr:col>40</xdr:col>
      <xdr:colOff>53700</xdr:colOff>
      <xdr:row>160</xdr:row>
      <xdr:rowOff>187050</xdr:rowOff>
    </xdr:to>
    <xdr:sp macro="" textlink="">
      <xdr:nvSpPr>
        <xdr:cNvPr id="12" name="Ovál 11"/>
        <xdr:cNvSpPr/>
      </xdr:nvSpPr>
      <xdr:spPr>
        <a:xfrm>
          <a:off x="9029700" y="9020175"/>
          <a:ext cx="1730100" cy="169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20</xdr:col>
      <xdr:colOff>200025</xdr:colOff>
      <xdr:row>142</xdr:row>
      <xdr:rowOff>133350</xdr:rowOff>
    </xdr:from>
    <xdr:to>
      <xdr:col>21</xdr:col>
      <xdr:colOff>77325</xdr:colOff>
      <xdr:row>143</xdr:row>
      <xdr:rowOff>77325</xdr:rowOff>
    </xdr:to>
    <xdr:sp macro="" textlink="">
      <xdr:nvSpPr>
        <xdr:cNvPr id="13" name="Ovál 12"/>
        <xdr:cNvSpPr/>
      </xdr:nvSpPr>
      <xdr:spPr>
        <a:xfrm>
          <a:off x="5534025" y="28479750"/>
          <a:ext cx="144000" cy="144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31</xdr:col>
      <xdr:colOff>190500</xdr:colOff>
      <xdr:row>142</xdr:row>
      <xdr:rowOff>133350</xdr:rowOff>
    </xdr:from>
    <xdr:to>
      <xdr:col>32</xdr:col>
      <xdr:colOff>67800</xdr:colOff>
      <xdr:row>143</xdr:row>
      <xdr:rowOff>77325</xdr:rowOff>
    </xdr:to>
    <xdr:sp macro="" textlink="">
      <xdr:nvSpPr>
        <xdr:cNvPr id="14" name="Ovál 13"/>
        <xdr:cNvSpPr/>
      </xdr:nvSpPr>
      <xdr:spPr>
        <a:xfrm>
          <a:off x="8458200" y="28479750"/>
          <a:ext cx="144000" cy="144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17</xdr:col>
      <xdr:colOff>45720</xdr:colOff>
      <xdr:row>178</xdr:row>
      <xdr:rowOff>41910</xdr:rowOff>
    </xdr:from>
    <xdr:to>
      <xdr:col>23</xdr:col>
      <xdr:colOff>235800</xdr:colOff>
      <xdr:row>187</xdr:row>
      <xdr:rowOff>163410</xdr:rowOff>
    </xdr:to>
    <xdr:sp macro="" textlink="">
      <xdr:nvSpPr>
        <xdr:cNvPr id="15" name="Ovál 14"/>
        <xdr:cNvSpPr/>
      </xdr:nvSpPr>
      <xdr:spPr>
        <a:xfrm>
          <a:off x="4709160" y="34110930"/>
          <a:ext cx="1836000" cy="1836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21</xdr:col>
      <xdr:colOff>228600</xdr:colOff>
      <xdr:row>209</xdr:row>
      <xdr:rowOff>19050</xdr:rowOff>
    </xdr:from>
    <xdr:to>
      <xdr:col>28</xdr:col>
      <xdr:colOff>53700</xdr:colOff>
      <xdr:row>217</xdr:row>
      <xdr:rowOff>187050</xdr:rowOff>
    </xdr:to>
    <xdr:sp macro="" textlink="">
      <xdr:nvSpPr>
        <xdr:cNvPr id="16" name="Ovál 15"/>
        <xdr:cNvSpPr/>
      </xdr:nvSpPr>
      <xdr:spPr>
        <a:xfrm>
          <a:off x="5989320" y="24128730"/>
          <a:ext cx="1745340" cy="169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19</xdr:col>
      <xdr:colOff>200025</xdr:colOff>
      <xdr:row>193</xdr:row>
      <xdr:rowOff>123825</xdr:rowOff>
    </xdr:from>
    <xdr:to>
      <xdr:col>20</xdr:col>
      <xdr:colOff>77325</xdr:colOff>
      <xdr:row>194</xdr:row>
      <xdr:rowOff>67800</xdr:rowOff>
    </xdr:to>
    <xdr:sp macro="" textlink="">
      <xdr:nvSpPr>
        <xdr:cNvPr id="17" name="Ovál 16"/>
        <xdr:cNvSpPr/>
      </xdr:nvSpPr>
      <xdr:spPr>
        <a:xfrm>
          <a:off x="5412105" y="20019645"/>
          <a:ext cx="151620" cy="142095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8</xdr:col>
      <xdr:colOff>200025</xdr:colOff>
      <xdr:row>193</xdr:row>
      <xdr:rowOff>133350</xdr:rowOff>
    </xdr:from>
    <xdr:to>
      <xdr:col>9</xdr:col>
      <xdr:colOff>77325</xdr:colOff>
      <xdr:row>194</xdr:row>
      <xdr:rowOff>77325</xdr:rowOff>
    </xdr:to>
    <xdr:sp macro="" textlink="">
      <xdr:nvSpPr>
        <xdr:cNvPr id="18" name="Ovál 17"/>
        <xdr:cNvSpPr/>
      </xdr:nvSpPr>
      <xdr:spPr>
        <a:xfrm>
          <a:off x="2394585" y="20029170"/>
          <a:ext cx="151620" cy="142095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19</xdr:col>
      <xdr:colOff>200025</xdr:colOff>
      <xdr:row>198</xdr:row>
      <xdr:rowOff>123825</xdr:rowOff>
    </xdr:from>
    <xdr:to>
      <xdr:col>20</xdr:col>
      <xdr:colOff>77325</xdr:colOff>
      <xdr:row>199</xdr:row>
      <xdr:rowOff>67800</xdr:rowOff>
    </xdr:to>
    <xdr:sp macro="" textlink="">
      <xdr:nvSpPr>
        <xdr:cNvPr id="19" name="Ovál 18"/>
        <xdr:cNvSpPr/>
      </xdr:nvSpPr>
      <xdr:spPr>
        <a:xfrm>
          <a:off x="5412105" y="20979765"/>
          <a:ext cx="151620" cy="142095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8</xdr:col>
      <xdr:colOff>190500</xdr:colOff>
      <xdr:row>198</xdr:row>
      <xdr:rowOff>133350</xdr:rowOff>
    </xdr:from>
    <xdr:to>
      <xdr:col>9</xdr:col>
      <xdr:colOff>67800</xdr:colOff>
      <xdr:row>199</xdr:row>
      <xdr:rowOff>77325</xdr:rowOff>
    </xdr:to>
    <xdr:sp macro="" textlink="">
      <xdr:nvSpPr>
        <xdr:cNvPr id="20" name="Ovál 19"/>
        <xdr:cNvSpPr/>
      </xdr:nvSpPr>
      <xdr:spPr>
        <a:xfrm>
          <a:off x="2385060" y="20989290"/>
          <a:ext cx="151620" cy="142095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7</xdr:col>
      <xdr:colOff>152399</xdr:colOff>
      <xdr:row>248</xdr:row>
      <xdr:rowOff>190499</xdr:rowOff>
    </xdr:from>
    <xdr:to>
      <xdr:col>8</xdr:col>
      <xdr:colOff>272174</xdr:colOff>
      <xdr:row>251</xdr:row>
      <xdr:rowOff>14999</xdr:rowOff>
    </xdr:to>
    <xdr:sp macro="" textlink="">
      <xdr:nvSpPr>
        <xdr:cNvPr id="30" name="Ovál 29"/>
        <xdr:cNvSpPr/>
      </xdr:nvSpPr>
      <xdr:spPr>
        <a:xfrm>
          <a:off x="1965959" y="5364479"/>
          <a:ext cx="401715" cy="396000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noFill/>
          </a:endParaRPr>
        </a:p>
      </xdr:txBody>
    </xdr:sp>
    <xdr:clientData/>
  </xdr:twoCellAnchor>
  <xdr:twoCellAnchor>
    <xdr:from>
      <xdr:col>13</xdr:col>
      <xdr:colOff>257174</xdr:colOff>
      <xdr:row>248</xdr:row>
      <xdr:rowOff>190499</xdr:rowOff>
    </xdr:from>
    <xdr:to>
      <xdr:col>15</xdr:col>
      <xdr:colOff>5473</xdr:colOff>
      <xdr:row>251</xdr:row>
      <xdr:rowOff>14999</xdr:rowOff>
    </xdr:to>
    <xdr:sp macro="" textlink="">
      <xdr:nvSpPr>
        <xdr:cNvPr id="31" name="Ovál 30"/>
        <xdr:cNvSpPr/>
      </xdr:nvSpPr>
      <xdr:spPr>
        <a:xfrm>
          <a:off x="4128134" y="5364479"/>
          <a:ext cx="434099" cy="396000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noFill/>
          </a:endParaRPr>
        </a:p>
      </xdr:txBody>
    </xdr:sp>
    <xdr:clientData/>
  </xdr:twoCellAnchor>
  <xdr:twoCellAnchor>
    <xdr:from>
      <xdr:col>18</xdr:col>
      <xdr:colOff>93345</xdr:colOff>
      <xdr:row>242</xdr:row>
      <xdr:rowOff>190499</xdr:rowOff>
    </xdr:from>
    <xdr:to>
      <xdr:col>21</xdr:col>
      <xdr:colOff>102870</xdr:colOff>
      <xdr:row>248</xdr:row>
      <xdr:rowOff>0</xdr:rowOff>
    </xdr:to>
    <xdr:sp macro="" textlink="">
      <xdr:nvSpPr>
        <xdr:cNvPr id="32" name="Ovál 31"/>
        <xdr:cNvSpPr/>
      </xdr:nvSpPr>
      <xdr:spPr>
        <a:xfrm>
          <a:off x="5221605" y="46725839"/>
          <a:ext cx="901065" cy="95250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noFill/>
          </a:endParaRPr>
        </a:p>
      </xdr:txBody>
    </xdr:sp>
    <xdr:clientData/>
  </xdr:twoCellAnchor>
  <xdr:twoCellAnchor>
    <xdr:from>
      <xdr:col>13</xdr:col>
      <xdr:colOff>9525</xdr:colOff>
      <xdr:row>232</xdr:row>
      <xdr:rowOff>0</xdr:rowOff>
    </xdr:from>
    <xdr:to>
      <xdr:col>17</xdr:col>
      <xdr:colOff>0</xdr:colOff>
      <xdr:row>238</xdr:row>
      <xdr:rowOff>1</xdr:rowOff>
    </xdr:to>
    <xdr:sp macro="" textlink="">
      <xdr:nvSpPr>
        <xdr:cNvPr id="33" name="Ovál 32"/>
        <xdr:cNvSpPr/>
      </xdr:nvSpPr>
      <xdr:spPr>
        <a:xfrm>
          <a:off x="3880485" y="1927860"/>
          <a:ext cx="1240155" cy="114300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noFill/>
          </a:endParaRPr>
        </a:p>
      </xdr:txBody>
    </xdr:sp>
    <xdr:clientData/>
  </xdr:twoCellAnchor>
  <xdr:twoCellAnchor>
    <xdr:from>
      <xdr:col>4</xdr:col>
      <xdr:colOff>276224</xdr:colOff>
      <xdr:row>232</xdr:row>
      <xdr:rowOff>9525</xdr:rowOff>
    </xdr:from>
    <xdr:to>
      <xdr:col>9</xdr:col>
      <xdr:colOff>0</xdr:colOff>
      <xdr:row>238</xdr:row>
      <xdr:rowOff>9526</xdr:rowOff>
    </xdr:to>
    <xdr:sp macro="" textlink="">
      <xdr:nvSpPr>
        <xdr:cNvPr id="34" name="Ovál 33"/>
        <xdr:cNvSpPr/>
      </xdr:nvSpPr>
      <xdr:spPr>
        <a:xfrm>
          <a:off x="1122044" y="1937385"/>
          <a:ext cx="1255396" cy="114300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noFill/>
          </a:endParaRPr>
        </a:p>
      </xdr:txBody>
    </xdr:sp>
    <xdr:clientData/>
  </xdr:twoCellAnchor>
  <xdr:twoCellAnchor>
    <xdr:from>
      <xdr:col>10</xdr:col>
      <xdr:colOff>352424</xdr:colOff>
      <xdr:row>234</xdr:row>
      <xdr:rowOff>152400</xdr:rowOff>
    </xdr:from>
    <xdr:to>
      <xdr:col>11</xdr:col>
      <xdr:colOff>33899</xdr:colOff>
      <xdr:row>235</xdr:row>
      <xdr:rowOff>33900</xdr:rowOff>
    </xdr:to>
    <xdr:sp macro="" textlink="">
      <xdr:nvSpPr>
        <xdr:cNvPr id="35" name="Ovál 34"/>
        <xdr:cNvSpPr/>
      </xdr:nvSpPr>
      <xdr:spPr>
        <a:xfrm>
          <a:off x="3133724" y="2461260"/>
          <a:ext cx="85335" cy="72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10</xdr:col>
      <xdr:colOff>352424</xdr:colOff>
      <xdr:row>240</xdr:row>
      <xdr:rowOff>161925</xdr:rowOff>
    </xdr:from>
    <xdr:to>
      <xdr:col>11</xdr:col>
      <xdr:colOff>33899</xdr:colOff>
      <xdr:row>241</xdr:row>
      <xdr:rowOff>33900</xdr:rowOff>
    </xdr:to>
    <xdr:sp macro="" textlink="">
      <xdr:nvSpPr>
        <xdr:cNvPr id="36" name="Ovál 35"/>
        <xdr:cNvSpPr/>
      </xdr:nvSpPr>
      <xdr:spPr>
        <a:xfrm>
          <a:off x="3133724" y="3613785"/>
          <a:ext cx="85335" cy="70095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19</xdr:col>
      <xdr:colOff>409574</xdr:colOff>
      <xdr:row>240</xdr:row>
      <xdr:rowOff>161925</xdr:rowOff>
    </xdr:from>
    <xdr:to>
      <xdr:col>20</xdr:col>
      <xdr:colOff>43424</xdr:colOff>
      <xdr:row>241</xdr:row>
      <xdr:rowOff>33900</xdr:rowOff>
    </xdr:to>
    <xdr:sp macro="" textlink="">
      <xdr:nvSpPr>
        <xdr:cNvPr id="37" name="Ovál 36"/>
        <xdr:cNvSpPr/>
      </xdr:nvSpPr>
      <xdr:spPr>
        <a:xfrm>
          <a:off x="6094094" y="3613785"/>
          <a:ext cx="83430" cy="70095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2</xdr:col>
      <xdr:colOff>228599</xdr:colOff>
      <xdr:row>240</xdr:row>
      <xdr:rowOff>161925</xdr:rowOff>
    </xdr:from>
    <xdr:to>
      <xdr:col>3</xdr:col>
      <xdr:colOff>24374</xdr:colOff>
      <xdr:row>241</xdr:row>
      <xdr:rowOff>33900</xdr:rowOff>
    </xdr:to>
    <xdr:sp macro="" textlink="">
      <xdr:nvSpPr>
        <xdr:cNvPr id="38" name="Ovál 37"/>
        <xdr:cNvSpPr/>
      </xdr:nvSpPr>
      <xdr:spPr>
        <a:xfrm>
          <a:off x="510539" y="3613785"/>
          <a:ext cx="77715" cy="70095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1</xdr:row>
      <xdr:rowOff>123825</xdr:rowOff>
    </xdr:from>
    <xdr:to>
      <xdr:col>16</xdr:col>
      <xdr:colOff>257175</xdr:colOff>
      <xdr:row>9</xdr:row>
      <xdr:rowOff>161925</xdr:rowOff>
    </xdr:to>
    <xdr:sp macro="" textlink="">
      <xdr:nvSpPr>
        <xdr:cNvPr id="2" name="Ovál 1"/>
        <xdr:cNvSpPr/>
      </xdr:nvSpPr>
      <xdr:spPr>
        <a:xfrm>
          <a:off x="2943225" y="314325"/>
          <a:ext cx="1581150" cy="15811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21</xdr:col>
      <xdr:colOff>228600</xdr:colOff>
      <xdr:row>29</xdr:row>
      <xdr:rowOff>19050</xdr:rowOff>
    </xdr:from>
    <xdr:to>
      <xdr:col>28</xdr:col>
      <xdr:colOff>53700</xdr:colOff>
      <xdr:row>37</xdr:row>
      <xdr:rowOff>187050</xdr:rowOff>
    </xdr:to>
    <xdr:sp macro="" textlink="">
      <xdr:nvSpPr>
        <xdr:cNvPr id="15" name="Ovál 14"/>
        <xdr:cNvSpPr/>
      </xdr:nvSpPr>
      <xdr:spPr>
        <a:xfrm>
          <a:off x="5829300" y="5562600"/>
          <a:ext cx="1692000" cy="169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28</xdr:col>
      <xdr:colOff>228600</xdr:colOff>
      <xdr:row>29</xdr:row>
      <xdr:rowOff>9525</xdr:rowOff>
    </xdr:from>
    <xdr:to>
      <xdr:col>35</xdr:col>
      <xdr:colOff>53700</xdr:colOff>
      <xdr:row>37</xdr:row>
      <xdr:rowOff>177525</xdr:rowOff>
    </xdr:to>
    <xdr:sp macro="" textlink="">
      <xdr:nvSpPr>
        <xdr:cNvPr id="16" name="Ovál 15"/>
        <xdr:cNvSpPr/>
      </xdr:nvSpPr>
      <xdr:spPr>
        <a:xfrm>
          <a:off x="7696200" y="5553075"/>
          <a:ext cx="1692000" cy="169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24</xdr:col>
      <xdr:colOff>200025</xdr:colOff>
      <xdr:row>5</xdr:row>
      <xdr:rowOff>133350</xdr:rowOff>
    </xdr:from>
    <xdr:to>
      <xdr:col>25</xdr:col>
      <xdr:colOff>77325</xdr:colOff>
      <xdr:row>6</xdr:row>
      <xdr:rowOff>77325</xdr:rowOff>
    </xdr:to>
    <xdr:sp macro="" textlink="">
      <xdr:nvSpPr>
        <xdr:cNvPr id="17" name="Ovál 16"/>
        <xdr:cNvSpPr/>
      </xdr:nvSpPr>
      <xdr:spPr>
        <a:xfrm>
          <a:off x="6600825" y="1276350"/>
          <a:ext cx="144000" cy="144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24</xdr:col>
      <xdr:colOff>200025</xdr:colOff>
      <xdr:row>43</xdr:row>
      <xdr:rowOff>114300</xdr:rowOff>
    </xdr:from>
    <xdr:to>
      <xdr:col>25</xdr:col>
      <xdr:colOff>77325</xdr:colOff>
      <xdr:row>44</xdr:row>
      <xdr:rowOff>67800</xdr:rowOff>
    </xdr:to>
    <xdr:sp macro="" textlink="">
      <xdr:nvSpPr>
        <xdr:cNvPr id="18" name="Ovál 17"/>
        <xdr:cNvSpPr/>
      </xdr:nvSpPr>
      <xdr:spPr>
        <a:xfrm>
          <a:off x="6600825" y="8505825"/>
          <a:ext cx="144000" cy="144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7</xdr:col>
      <xdr:colOff>9524</xdr:colOff>
      <xdr:row>49</xdr:row>
      <xdr:rowOff>171450</xdr:rowOff>
    </xdr:from>
    <xdr:to>
      <xdr:col>12</xdr:col>
      <xdr:colOff>257174</xdr:colOff>
      <xdr:row>58</xdr:row>
      <xdr:rowOff>28575</xdr:rowOff>
    </xdr:to>
    <xdr:sp macro="" textlink="">
      <xdr:nvSpPr>
        <xdr:cNvPr id="19" name="Ovál 18"/>
        <xdr:cNvSpPr/>
      </xdr:nvSpPr>
      <xdr:spPr>
        <a:xfrm>
          <a:off x="1892112" y="9360274"/>
          <a:ext cx="1592356" cy="15716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11</xdr:col>
      <xdr:colOff>238125</xdr:colOff>
      <xdr:row>75</xdr:row>
      <xdr:rowOff>19050</xdr:rowOff>
    </xdr:from>
    <xdr:to>
      <xdr:col>18</xdr:col>
      <xdr:colOff>63225</xdr:colOff>
      <xdr:row>83</xdr:row>
      <xdr:rowOff>187050</xdr:rowOff>
    </xdr:to>
    <xdr:sp macro="" textlink="">
      <xdr:nvSpPr>
        <xdr:cNvPr id="20" name="Ovál 19"/>
        <xdr:cNvSpPr/>
      </xdr:nvSpPr>
      <xdr:spPr>
        <a:xfrm>
          <a:off x="3171825" y="15097125"/>
          <a:ext cx="1692000" cy="169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19</xdr:col>
      <xdr:colOff>9525</xdr:colOff>
      <xdr:row>49</xdr:row>
      <xdr:rowOff>171450</xdr:rowOff>
    </xdr:from>
    <xdr:to>
      <xdr:col>24</xdr:col>
      <xdr:colOff>257175</xdr:colOff>
      <xdr:row>58</xdr:row>
      <xdr:rowOff>28575</xdr:rowOff>
    </xdr:to>
    <xdr:sp macro="" textlink="">
      <xdr:nvSpPr>
        <xdr:cNvPr id="21" name="Ovál 20"/>
        <xdr:cNvSpPr/>
      </xdr:nvSpPr>
      <xdr:spPr>
        <a:xfrm>
          <a:off x="5076825" y="10296525"/>
          <a:ext cx="1581150" cy="15716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14</xdr:col>
      <xdr:colOff>200025</xdr:colOff>
      <xdr:row>72</xdr:row>
      <xdr:rowOff>114300</xdr:rowOff>
    </xdr:from>
    <xdr:to>
      <xdr:col>15</xdr:col>
      <xdr:colOff>77325</xdr:colOff>
      <xdr:row>73</xdr:row>
      <xdr:rowOff>67800</xdr:rowOff>
    </xdr:to>
    <xdr:sp macro="" textlink="">
      <xdr:nvSpPr>
        <xdr:cNvPr id="22" name="Ovál 21"/>
        <xdr:cNvSpPr/>
      </xdr:nvSpPr>
      <xdr:spPr>
        <a:xfrm>
          <a:off x="3933825" y="14620875"/>
          <a:ext cx="144000" cy="144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14</xdr:col>
      <xdr:colOff>200025</xdr:colOff>
      <xdr:row>53</xdr:row>
      <xdr:rowOff>114300</xdr:rowOff>
    </xdr:from>
    <xdr:to>
      <xdr:col>15</xdr:col>
      <xdr:colOff>77325</xdr:colOff>
      <xdr:row>54</xdr:row>
      <xdr:rowOff>67800</xdr:rowOff>
    </xdr:to>
    <xdr:sp macro="" textlink="">
      <xdr:nvSpPr>
        <xdr:cNvPr id="23" name="Ovál 22"/>
        <xdr:cNvSpPr/>
      </xdr:nvSpPr>
      <xdr:spPr>
        <a:xfrm>
          <a:off x="3933825" y="11001375"/>
          <a:ext cx="144000" cy="144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36</xdr:col>
      <xdr:colOff>224688</xdr:colOff>
      <xdr:row>75</xdr:row>
      <xdr:rowOff>14007</xdr:rowOff>
    </xdr:from>
    <xdr:to>
      <xdr:col>43</xdr:col>
      <xdr:colOff>49788</xdr:colOff>
      <xdr:row>83</xdr:row>
      <xdr:rowOff>182007</xdr:rowOff>
    </xdr:to>
    <xdr:sp macro="" textlink="">
      <xdr:nvSpPr>
        <xdr:cNvPr id="24" name="Ovál 23"/>
        <xdr:cNvSpPr/>
      </xdr:nvSpPr>
      <xdr:spPr>
        <a:xfrm>
          <a:off x="10049045" y="14165436"/>
          <a:ext cx="1730100" cy="169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28</xdr:col>
      <xdr:colOff>190189</xdr:colOff>
      <xdr:row>86</xdr:row>
      <xdr:rowOff>118223</xdr:rowOff>
    </xdr:from>
    <xdr:to>
      <xdr:col>29</xdr:col>
      <xdr:colOff>71847</xdr:colOff>
      <xdr:row>87</xdr:row>
      <xdr:rowOff>71723</xdr:rowOff>
    </xdr:to>
    <xdr:sp macro="" textlink="">
      <xdr:nvSpPr>
        <xdr:cNvPr id="25" name="Ovál 24"/>
        <xdr:cNvSpPr/>
      </xdr:nvSpPr>
      <xdr:spPr>
        <a:xfrm>
          <a:off x="7657789" y="16348823"/>
          <a:ext cx="148358" cy="144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14</xdr:col>
      <xdr:colOff>200025</xdr:colOff>
      <xdr:row>99</xdr:row>
      <xdr:rowOff>114300</xdr:rowOff>
    </xdr:from>
    <xdr:to>
      <xdr:col>15</xdr:col>
      <xdr:colOff>77325</xdr:colOff>
      <xdr:row>100</xdr:row>
      <xdr:rowOff>67800</xdr:rowOff>
    </xdr:to>
    <xdr:sp macro="" textlink="">
      <xdr:nvSpPr>
        <xdr:cNvPr id="26" name="Ovál 25"/>
        <xdr:cNvSpPr/>
      </xdr:nvSpPr>
      <xdr:spPr>
        <a:xfrm>
          <a:off x="3933825" y="18821400"/>
          <a:ext cx="144000" cy="144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18</xdr:col>
      <xdr:colOff>246528</xdr:colOff>
      <xdr:row>61</xdr:row>
      <xdr:rowOff>11203</xdr:rowOff>
    </xdr:from>
    <xdr:to>
      <xdr:col>25</xdr:col>
      <xdr:colOff>71628</xdr:colOff>
      <xdr:row>69</xdr:row>
      <xdr:rowOff>179203</xdr:rowOff>
    </xdr:to>
    <xdr:sp macro="" textlink="">
      <xdr:nvSpPr>
        <xdr:cNvPr id="27" name="Ovál 26"/>
        <xdr:cNvSpPr/>
      </xdr:nvSpPr>
      <xdr:spPr>
        <a:xfrm>
          <a:off x="5087469" y="11486027"/>
          <a:ext cx="1707688" cy="169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32</xdr:col>
      <xdr:colOff>264457</xdr:colOff>
      <xdr:row>61</xdr:row>
      <xdr:rowOff>6720</xdr:rowOff>
    </xdr:from>
    <xdr:to>
      <xdr:col>39</xdr:col>
      <xdr:colOff>55939</xdr:colOff>
      <xdr:row>69</xdr:row>
      <xdr:rowOff>174720</xdr:rowOff>
    </xdr:to>
    <xdr:sp macro="" textlink="">
      <xdr:nvSpPr>
        <xdr:cNvPr id="28" name="Ovál 27"/>
        <xdr:cNvSpPr/>
      </xdr:nvSpPr>
      <xdr:spPr>
        <a:xfrm>
          <a:off x="8870575" y="11481544"/>
          <a:ext cx="1707688" cy="169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18</xdr:col>
      <xdr:colOff>224119</xdr:colOff>
      <xdr:row>89</xdr:row>
      <xdr:rowOff>11206</xdr:rowOff>
    </xdr:from>
    <xdr:to>
      <xdr:col>25</xdr:col>
      <xdr:colOff>49219</xdr:colOff>
      <xdr:row>97</xdr:row>
      <xdr:rowOff>179206</xdr:rowOff>
    </xdr:to>
    <xdr:sp macro="" textlink="">
      <xdr:nvSpPr>
        <xdr:cNvPr id="29" name="Ovál 28"/>
        <xdr:cNvSpPr/>
      </xdr:nvSpPr>
      <xdr:spPr>
        <a:xfrm>
          <a:off x="5065060" y="16820030"/>
          <a:ext cx="1707688" cy="169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32</xdr:col>
      <xdr:colOff>264460</xdr:colOff>
      <xdr:row>89</xdr:row>
      <xdr:rowOff>6724</xdr:rowOff>
    </xdr:from>
    <xdr:to>
      <xdr:col>39</xdr:col>
      <xdr:colOff>55942</xdr:colOff>
      <xdr:row>97</xdr:row>
      <xdr:rowOff>174724</xdr:rowOff>
    </xdr:to>
    <xdr:sp macro="" textlink="">
      <xdr:nvSpPr>
        <xdr:cNvPr id="30" name="Ovál 29"/>
        <xdr:cNvSpPr/>
      </xdr:nvSpPr>
      <xdr:spPr>
        <a:xfrm>
          <a:off x="8870578" y="16815548"/>
          <a:ext cx="1707688" cy="169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21</xdr:col>
      <xdr:colOff>201705</xdr:colOff>
      <xdr:row>99</xdr:row>
      <xdr:rowOff>123266</xdr:rowOff>
    </xdr:from>
    <xdr:to>
      <xdr:col>22</xdr:col>
      <xdr:colOff>79006</xdr:colOff>
      <xdr:row>100</xdr:row>
      <xdr:rowOff>76766</xdr:rowOff>
    </xdr:to>
    <xdr:sp macro="" textlink="">
      <xdr:nvSpPr>
        <xdr:cNvPr id="31" name="Ovál 30"/>
        <xdr:cNvSpPr/>
      </xdr:nvSpPr>
      <xdr:spPr>
        <a:xfrm>
          <a:off x="5849470" y="18837090"/>
          <a:ext cx="146242" cy="144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28</xdr:col>
      <xdr:colOff>197223</xdr:colOff>
      <xdr:row>99</xdr:row>
      <xdr:rowOff>118783</xdr:rowOff>
    </xdr:from>
    <xdr:to>
      <xdr:col>29</xdr:col>
      <xdr:colOff>74524</xdr:colOff>
      <xdr:row>100</xdr:row>
      <xdr:rowOff>72283</xdr:rowOff>
    </xdr:to>
    <xdr:sp macro="" textlink="">
      <xdr:nvSpPr>
        <xdr:cNvPr id="32" name="Ovál 31"/>
        <xdr:cNvSpPr/>
      </xdr:nvSpPr>
      <xdr:spPr>
        <a:xfrm>
          <a:off x="7727576" y="18832607"/>
          <a:ext cx="146242" cy="144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21</xdr:col>
      <xdr:colOff>190499</xdr:colOff>
      <xdr:row>72</xdr:row>
      <xdr:rowOff>134474</xdr:rowOff>
    </xdr:from>
    <xdr:to>
      <xdr:col>22</xdr:col>
      <xdr:colOff>67800</xdr:colOff>
      <xdr:row>73</xdr:row>
      <xdr:rowOff>87974</xdr:rowOff>
    </xdr:to>
    <xdr:sp macro="" textlink="">
      <xdr:nvSpPr>
        <xdr:cNvPr id="33" name="Ovál 32"/>
        <xdr:cNvSpPr/>
      </xdr:nvSpPr>
      <xdr:spPr>
        <a:xfrm>
          <a:off x="5838264" y="13704798"/>
          <a:ext cx="146242" cy="144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14</xdr:col>
      <xdr:colOff>201706</xdr:colOff>
      <xdr:row>59</xdr:row>
      <xdr:rowOff>112060</xdr:rowOff>
    </xdr:from>
    <xdr:to>
      <xdr:col>15</xdr:col>
      <xdr:colOff>79006</xdr:colOff>
      <xdr:row>60</xdr:row>
      <xdr:rowOff>65560</xdr:rowOff>
    </xdr:to>
    <xdr:sp macro="" textlink="">
      <xdr:nvSpPr>
        <xdr:cNvPr id="34" name="Ovál 33"/>
        <xdr:cNvSpPr/>
      </xdr:nvSpPr>
      <xdr:spPr>
        <a:xfrm>
          <a:off x="3966882" y="11205884"/>
          <a:ext cx="146242" cy="144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28</xdr:col>
      <xdr:colOff>190499</xdr:colOff>
      <xdr:row>59</xdr:row>
      <xdr:rowOff>112060</xdr:rowOff>
    </xdr:from>
    <xdr:to>
      <xdr:col>29</xdr:col>
      <xdr:colOff>67800</xdr:colOff>
      <xdr:row>60</xdr:row>
      <xdr:rowOff>65560</xdr:rowOff>
    </xdr:to>
    <xdr:sp macro="" textlink="">
      <xdr:nvSpPr>
        <xdr:cNvPr id="35" name="Ovál 34"/>
        <xdr:cNvSpPr/>
      </xdr:nvSpPr>
      <xdr:spPr>
        <a:xfrm>
          <a:off x="7720852" y="11205884"/>
          <a:ext cx="146242" cy="144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28</xdr:col>
      <xdr:colOff>201708</xdr:colOff>
      <xdr:row>79</xdr:row>
      <xdr:rowOff>112060</xdr:rowOff>
    </xdr:from>
    <xdr:to>
      <xdr:col>29</xdr:col>
      <xdr:colOff>83366</xdr:colOff>
      <xdr:row>80</xdr:row>
      <xdr:rowOff>65560</xdr:rowOff>
    </xdr:to>
    <xdr:sp macro="" textlink="">
      <xdr:nvSpPr>
        <xdr:cNvPr id="36" name="Ovál 35"/>
        <xdr:cNvSpPr/>
      </xdr:nvSpPr>
      <xdr:spPr>
        <a:xfrm>
          <a:off x="7732061" y="15015884"/>
          <a:ext cx="150599" cy="144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35</xdr:col>
      <xdr:colOff>230844</xdr:colOff>
      <xdr:row>79</xdr:row>
      <xdr:rowOff>107578</xdr:rowOff>
    </xdr:from>
    <xdr:to>
      <xdr:col>36</xdr:col>
      <xdr:colOff>78884</xdr:colOff>
      <xdr:row>80</xdr:row>
      <xdr:rowOff>61078</xdr:rowOff>
    </xdr:to>
    <xdr:sp macro="" textlink="">
      <xdr:nvSpPr>
        <xdr:cNvPr id="37" name="Ovál 36"/>
        <xdr:cNvSpPr/>
      </xdr:nvSpPr>
      <xdr:spPr>
        <a:xfrm>
          <a:off x="9643785" y="15011402"/>
          <a:ext cx="150599" cy="144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6</xdr:col>
      <xdr:colOff>15240</xdr:colOff>
      <xdr:row>105</xdr:row>
      <xdr:rowOff>91440</xdr:rowOff>
    </xdr:from>
    <xdr:to>
      <xdr:col>10</xdr:col>
      <xdr:colOff>266700</xdr:colOff>
      <xdr:row>112</xdr:row>
      <xdr:rowOff>107940</xdr:rowOff>
    </xdr:to>
    <xdr:sp macro="" textlink="">
      <xdr:nvSpPr>
        <xdr:cNvPr id="44" name="Ovál 43"/>
        <xdr:cNvSpPr/>
      </xdr:nvSpPr>
      <xdr:spPr>
        <a:xfrm>
          <a:off x="1661160" y="20520660"/>
          <a:ext cx="1348740" cy="1350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2</xdr:col>
      <xdr:colOff>198120</xdr:colOff>
      <xdr:row>119</xdr:row>
      <xdr:rowOff>7620</xdr:rowOff>
    </xdr:from>
    <xdr:to>
      <xdr:col>3</xdr:col>
      <xdr:colOff>75420</xdr:colOff>
      <xdr:row>119</xdr:row>
      <xdr:rowOff>151620</xdr:rowOff>
    </xdr:to>
    <xdr:sp macro="" textlink="">
      <xdr:nvSpPr>
        <xdr:cNvPr id="45" name="Ovál 44"/>
        <xdr:cNvSpPr/>
      </xdr:nvSpPr>
      <xdr:spPr>
        <a:xfrm>
          <a:off x="746760" y="22738080"/>
          <a:ext cx="151620" cy="144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11</xdr:col>
      <xdr:colOff>160020</xdr:colOff>
      <xdr:row>121</xdr:row>
      <xdr:rowOff>182880</xdr:rowOff>
    </xdr:from>
    <xdr:to>
      <xdr:col>16</xdr:col>
      <xdr:colOff>137160</xdr:colOff>
      <xdr:row>129</xdr:row>
      <xdr:rowOff>8880</xdr:rowOff>
    </xdr:to>
    <xdr:sp macro="" textlink="">
      <xdr:nvSpPr>
        <xdr:cNvPr id="46" name="Ovál 45"/>
        <xdr:cNvSpPr/>
      </xdr:nvSpPr>
      <xdr:spPr>
        <a:xfrm>
          <a:off x="3177540" y="23660100"/>
          <a:ext cx="1348740" cy="1350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18</xdr:col>
      <xdr:colOff>160020</xdr:colOff>
      <xdr:row>121</xdr:row>
      <xdr:rowOff>182880</xdr:rowOff>
    </xdr:from>
    <xdr:to>
      <xdr:col>23</xdr:col>
      <xdr:colOff>137160</xdr:colOff>
      <xdr:row>129</xdr:row>
      <xdr:rowOff>8880</xdr:rowOff>
    </xdr:to>
    <xdr:sp macro="" textlink="">
      <xdr:nvSpPr>
        <xdr:cNvPr id="47" name="Ovál 46"/>
        <xdr:cNvSpPr/>
      </xdr:nvSpPr>
      <xdr:spPr>
        <a:xfrm>
          <a:off x="3177540" y="23660100"/>
          <a:ext cx="1348740" cy="1350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25</xdr:col>
      <xdr:colOff>160020</xdr:colOff>
      <xdr:row>121</xdr:row>
      <xdr:rowOff>182880</xdr:rowOff>
    </xdr:from>
    <xdr:to>
      <xdr:col>30</xdr:col>
      <xdr:colOff>137160</xdr:colOff>
      <xdr:row>129</xdr:row>
      <xdr:rowOff>8880</xdr:rowOff>
    </xdr:to>
    <xdr:sp macro="" textlink="">
      <xdr:nvSpPr>
        <xdr:cNvPr id="48" name="Ovál 47"/>
        <xdr:cNvSpPr/>
      </xdr:nvSpPr>
      <xdr:spPr>
        <a:xfrm>
          <a:off x="3177540" y="23660100"/>
          <a:ext cx="1348740" cy="1350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31</xdr:col>
      <xdr:colOff>45720</xdr:colOff>
      <xdr:row>105</xdr:row>
      <xdr:rowOff>114300</xdr:rowOff>
    </xdr:from>
    <xdr:to>
      <xdr:col>35</xdr:col>
      <xdr:colOff>297180</xdr:colOff>
      <xdr:row>112</xdr:row>
      <xdr:rowOff>130800</xdr:rowOff>
    </xdr:to>
    <xdr:sp macro="" textlink="">
      <xdr:nvSpPr>
        <xdr:cNvPr id="49" name="Ovál 48"/>
        <xdr:cNvSpPr/>
      </xdr:nvSpPr>
      <xdr:spPr>
        <a:xfrm>
          <a:off x="8602980" y="20170140"/>
          <a:ext cx="1424940" cy="139572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13</xdr:col>
      <xdr:colOff>205740</xdr:colOff>
      <xdr:row>131</xdr:row>
      <xdr:rowOff>106680</xdr:rowOff>
    </xdr:from>
    <xdr:to>
      <xdr:col>14</xdr:col>
      <xdr:colOff>83040</xdr:colOff>
      <xdr:row>132</xdr:row>
      <xdr:rowOff>60180</xdr:rowOff>
    </xdr:to>
    <xdr:sp macro="" textlink="">
      <xdr:nvSpPr>
        <xdr:cNvPr id="51" name="Ovál 50"/>
        <xdr:cNvSpPr/>
      </xdr:nvSpPr>
      <xdr:spPr>
        <a:xfrm>
          <a:off x="3771900" y="25488900"/>
          <a:ext cx="151620" cy="144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20</xdr:col>
      <xdr:colOff>205740</xdr:colOff>
      <xdr:row>131</xdr:row>
      <xdr:rowOff>121920</xdr:rowOff>
    </xdr:from>
    <xdr:to>
      <xdr:col>21</xdr:col>
      <xdr:colOff>83040</xdr:colOff>
      <xdr:row>132</xdr:row>
      <xdr:rowOff>75420</xdr:rowOff>
    </xdr:to>
    <xdr:sp macro="" textlink="">
      <xdr:nvSpPr>
        <xdr:cNvPr id="52" name="Ovál 51"/>
        <xdr:cNvSpPr/>
      </xdr:nvSpPr>
      <xdr:spPr>
        <a:xfrm>
          <a:off x="5692140" y="25504140"/>
          <a:ext cx="151620" cy="144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27</xdr:col>
      <xdr:colOff>205740</xdr:colOff>
      <xdr:row>131</xdr:row>
      <xdr:rowOff>121920</xdr:rowOff>
    </xdr:from>
    <xdr:to>
      <xdr:col>28</xdr:col>
      <xdr:colOff>83040</xdr:colOff>
      <xdr:row>132</xdr:row>
      <xdr:rowOff>75420</xdr:rowOff>
    </xdr:to>
    <xdr:sp macro="" textlink="">
      <xdr:nvSpPr>
        <xdr:cNvPr id="53" name="Ovál 52"/>
        <xdr:cNvSpPr/>
      </xdr:nvSpPr>
      <xdr:spPr>
        <a:xfrm>
          <a:off x="7612380" y="25504140"/>
          <a:ext cx="151620" cy="144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13</xdr:col>
      <xdr:colOff>205740</xdr:colOff>
      <xdr:row>108</xdr:row>
      <xdr:rowOff>114300</xdr:rowOff>
    </xdr:from>
    <xdr:to>
      <xdr:col>14</xdr:col>
      <xdr:colOff>83040</xdr:colOff>
      <xdr:row>109</xdr:row>
      <xdr:rowOff>67800</xdr:rowOff>
    </xdr:to>
    <xdr:sp macro="" textlink="">
      <xdr:nvSpPr>
        <xdr:cNvPr id="54" name="Ovál 53"/>
        <xdr:cNvSpPr/>
      </xdr:nvSpPr>
      <xdr:spPr>
        <a:xfrm>
          <a:off x="3771900" y="21115020"/>
          <a:ext cx="151620" cy="144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20</xdr:col>
      <xdr:colOff>205740</xdr:colOff>
      <xdr:row>108</xdr:row>
      <xdr:rowOff>129540</xdr:rowOff>
    </xdr:from>
    <xdr:to>
      <xdr:col>21</xdr:col>
      <xdr:colOff>83040</xdr:colOff>
      <xdr:row>109</xdr:row>
      <xdr:rowOff>83040</xdr:rowOff>
    </xdr:to>
    <xdr:sp macro="" textlink="">
      <xdr:nvSpPr>
        <xdr:cNvPr id="55" name="Ovál 54"/>
        <xdr:cNvSpPr/>
      </xdr:nvSpPr>
      <xdr:spPr>
        <a:xfrm>
          <a:off x="5692140" y="21130260"/>
          <a:ext cx="151620" cy="144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27</xdr:col>
      <xdr:colOff>205740</xdr:colOff>
      <xdr:row>108</xdr:row>
      <xdr:rowOff>129540</xdr:rowOff>
    </xdr:from>
    <xdr:to>
      <xdr:col>28</xdr:col>
      <xdr:colOff>83040</xdr:colOff>
      <xdr:row>109</xdr:row>
      <xdr:rowOff>83040</xdr:rowOff>
    </xdr:to>
    <xdr:sp macro="" textlink="">
      <xdr:nvSpPr>
        <xdr:cNvPr id="56" name="Ovál 55"/>
        <xdr:cNvSpPr/>
      </xdr:nvSpPr>
      <xdr:spPr>
        <a:xfrm>
          <a:off x="7612380" y="21130260"/>
          <a:ext cx="151620" cy="144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14</xdr:col>
      <xdr:colOff>0</xdr:colOff>
      <xdr:row>119</xdr:row>
      <xdr:rowOff>60960</xdr:rowOff>
    </xdr:from>
    <xdr:to>
      <xdr:col>14</xdr:col>
      <xdr:colOff>0</xdr:colOff>
      <xdr:row>121</xdr:row>
      <xdr:rowOff>91440</xdr:rowOff>
    </xdr:to>
    <xdr:cxnSp macro="">
      <xdr:nvCxnSpPr>
        <xdr:cNvPr id="4" name="Rovná spojovacia šípka 3"/>
        <xdr:cNvCxnSpPr/>
      </xdr:nvCxnSpPr>
      <xdr:spPr>
        <a:xfrm>
          <a:off x="3840480" y="23157180"/>
          <a:ext cx="0" cy="41148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119</xdr:row>
      <xdr:rowOff>60960</xdr:rowOff>
    </xdr:from>
    <xdr:to>
      <xdr:col>21</xdr:col>
      <xdr:colOff>0</xdr:colOff>
      <xdr:row>121</xdr:row>
      <xdr:rowOff>91440</xdr:rowOff>
    </xdr:to>
    <xdr:cxnSp macro="">
      <xdr:nvCxnSpPr>
        <xdr:cNvPr id="41" name="Rovná spojovacia šípka 40"/>
        <xdr:cNvCxnSpPr/>
      </xdr:nvCxnSpPr>
      <xdr:spPr>
        <a:xfrm>
          <a:off x="5760720" y="23157180"/>
          <a:ext cx="0" cy="41148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119</xdr:row>
      <xdr:rowOff>60960</xdr:rowOff>
    </xdr:from>
    <xdr:to>
      <xdr:col>28</xdr:col>
      <xdr:colOff>0</xdr:colOff>
      <xdr:row>121</xdr:row>
      <xdr:rowOff>91440</xdr:rowOff>
    </xdr:to>
    <xdr:cxnSp macro="">
      <xdr:nvCxnSpPr>
        <xdr:cNvPr id="42" name="Rovná spojovacia šípka 41"/>
        <xdr:cNvCxnSpPr/>
      </xdr:nvCxnSpPr>
      <xdr:spPr>
        <a:xfrm>
          <a:off x="7680960" y="23157180"/>
          <a:ext cx="0" cy="41148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228600</xdr:colOff>
      <xdr:row>109</xdr:row>
      <xdr:rowOff>0</xdr:rowOff>
    </xdr:from>
    <xdr:to>
      <xdr:col>5</xdr:col>
      <xdr:colOff>91440</xdr:colOff>
      <xdr:row>109</xdr:row>
      <xdr:rowOff>0</xdr:rowOff>
    </xdr:to>
    <xdr:cxnSp macro="">
      <xdr:nvCxnSpPr>
        <xdr:cNvPr id="43" name="Rovná spojovacia šípka 42"/>
        <xdr:cNvCxnSpPr/>
      </xdr:nvCxnSpPr>
      <xdr:spPr>
        <a:xfrm rot="-5400000">
          <a:off x="1257300" y="20985480"/>
          <a:ext cx="0" cy="41148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198120</xdr:colOff>
      <xdr:row>123</xdr:row>
      <xdr:rowOff>30480</xdr:rowOff>
    </xdr:from>
    <xdr:to>
      <xdr:col>3</xdr:col>
      <xdr:colOff>75420</xdr:colOff>
      <xdr:row>123</xdr:row>
      <xdr:rowOff>174480</xdr:rowOff>
    </xdr:to>
    <xdr:sp macro="" textlink="">
      <xdr:nvSpPr>
        <xdr:cNvPr id="57" name="Ovál 56"/>
        <xdr:cNvSpPr/>
      </xdr:nvSpPr>
      <xdr:spPr>
        <a:xfrm>
          <a:off x="746760" y="23522940"/>
          <a:ext cx="151620" cy="144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29</xdr:col>
      <xdr:colOff>22860</xdr:colOff>
      <xdr:row>109</xdr:row>
      <xdr:rowOff>0</xdr:rowOff>
    </xdr:from>
    <xdr:to>
      <xdr:col>30</xdr:col>
      <xdr:colOff>106680</xdr:colOff>
      <xdr:row>109</xdr:row>
      <xdr:rowOff>0</xdr:rowOff>
    </xdr:to>
    <xdr:cxnSp macro="">
      <xdr:nvCxnSpPr>
        <xdr:cNvPr id="58" name="Rovná spojovacia šípka 57"/>
        <xdr:cNvCxnSpPr/>
      </xdr:nvCxnSpPr>
      <xdr:spPr>
        <a:xfrm rot="-5400000">
          <a:off x="8183880" y="20657820"/>
          <a:ext cx="0" cy="41148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209550</xdr:colOff>
      <xdr:row>143</xdr:row>
      <xdr:rowOff>47625</xdr:rowOff>
    </xdr:from>
    <xdr:to>
      <xdr:col>11</xdr:col>
      <xdr:colOff>145415</xdr:colOff>
      <xdr:row>156</xdr:row>
      <xdr:rowOff>131445</xdr:rowOff>
    </xdr:to>
    <xdr:pic>
      <xdr:nvPicPr>
        <xdr:cNvPr id="50" name="Obrázok 49" descr="F:\____\__Nové obrázky\22.6.2021\úloha 16a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510" y="27403425"/>
          <a:ext cx="2412365" cy="25603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133350</xdr:colOff>
      <xdr:row>143</xdr:row>
      <xdr:rowOff>38100</xdr:rowOff>
    </xdr:from>
    <xdr:to>
      <xdr:col>23</xdr:col>
      <xdr:colOff>61595</xdr:colOff>
      <xdr:row>161</xdr:row>
      <xdr:rowOff>171450</xdr:rowOff>
    </xdr:to>
    <xdr:pic>
      <xdr:nvPicPr>
        <xdr:cNvPr id="59" name="Obrázok 58" descr="F:\____\__Nové obrázky\22.6.2021\úloha 16b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27393900"/>
          <a:ext cx="2747645" cy="3562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4</xdr:row>
      <xdr:rowOff>9525</xdr:rowOff>
    </xdr:from>
    <xdr:to>
      <xdr:col>12</xdr:col>
      <xdr:colOff>485063</xdr:colOff>
      <xdr:row>24</xdr:row>
      <xdr:rowOff>56668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5" y="200025"/>
          <a:ext cx="5695238" cy="3857143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62</xdr:row>
      <xdr:rowOff>142875</xdr:rowOff>
    </xdr:from>
    <xdr:to>
      <xdr:col>12</xdr:col>
      <xdr:colOff>551738</xdr:colOff>
      <xdr:row>82</xdr:row>
      <xdr:rowOff>190018</xdr:rowOff>
    </xdr:to>
    <xdr:pic>
      <xdr:nvPicPr>
        <xdr:cNvPr id="5" name="Obrázok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275" y="12001500"/>
          <a:ext cx="5695238" cy="3857143"/>
        </a:xfrm>
        <a:prstGeom prst="rect">
          <a:avLst/>
        </a:prstGeom>
      </xdr:spPr>
    </xdr:pic>
    <xdr:clientData/>
  </xdr:twoCellAnchor>
  <xdr:twoCellAnchor editAs="oneCell">
    <xdr:from>
      <xdr:col>3</xdr:col>
      <xdr:colOff>590550</xdr:colOff>
      <xdr:row>32</xdr:row>
      <xdr:rowOff>180975</xdr:rowOff>
    </xdr:from>
    <xdr:to>
      <xdr:col>12</xdr:col>
      <xdr:colOff>456488</xdr:colOff>
      <xdr:row>53</xdr:row>
      <xdr:rowOff>37618</xdr:rowOff>
    </xdr:to>
    <xdr:pic>
      <xdr:nvPicPr>
        <xdr:cNvPr id="6" name="Obrázok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025" y="6305550"/>
          <a:ext cx="5695238" cy="3857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38</xdr:row>
      <xdr:rowOff>19050</xdr:rowOff>
    </xdr:from>
    <xdr:to>
      <xdr:col>7</xdr:col>
      <xdr:colOff>333525</xdr:colOff>
      <xdr:row>39</xdr:row>
      <xdr:rowOff>152550</xdr:rowOff>
    </xdr:to>
    <xdr:sp macro="" textlink="">
      <xdr:nvSpPr>
        <xdr:cNvPr id="2" name="Ovál 1"/>
        <xdr:cNvSpPr/>
      </xdr:nvSpPr>
      <xdr:spPr>
        <a:xfrm>
          <a:off x="2409825" y="7134225"/>
          <a:ext cx="324000" cy="324000"/>
        </a:xfrm>
        <a:prstGeom prst="ellipse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7</xdr:col>
      <xdr:colOff>9525</xdr:colOff>
      <xdr:row>48</xdr:row>
      <xdr:rowOff>28575</xdr:rowOff>
    </xdr:from>
    <xdr:to>
      <xdr:col>7</xdr:col>
      <xdr:colOff>333525</xdr:colOff>
      <xdr:row>49</xdr:row>
      <xdr:rowOff>162075</xdr:rowOff>
    </xdr:to>
    <xdr:sp macro="" textlink="">
      <xdr:nvSpPr>
        <xdr:cNvPr id="4" name="Ovál 3"/>
        <xdr:cNvSpPr/>
      </xdr:nvSpPr>
      <xdr:spPr>
        <a:xfrm>
          <a:off x="2409825" y="9058275"/>
          <a:ext cx="324000" cy="324000"/>
        </a:xfrm>
        <a:prstGeom prst="ellipse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7</xdr:col>
      <xdr:colOff>9525</xdr:colOff>
      <xdr:row>67</xdr:row>
      <xdr:rowOff>9525</xdr:rowOff>
    </xdr:from>
    <xdr:to>
      <xdr:col>7</xdr:col>
      <xdr:colOff>333525</xdr:colOff>
      <xdr:row>68</xdr:row>
      <xdr:rowOff>143025</xdr:rowOff>
    </xdr:to>
    <xdr:sp macro="" textlink="">
      <xdr:nvSpPr>
        <xdr:cNvPr id="6" name="Ovál 5"/>
        <xdr:cNvSpPr/>
      </xdr:nvSpPr>
      <xdr:spPr>
        <a:xfrm>
          <a:off x="2409825" y="12877800"/>
          <a:ext cx="324000" cy="324000"/>
        </a:xfrm>
        <a:prstGeom prst="ellipse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7</xdr:col>
      <xdr:colOff>9525</xdr:colOff>
      <xdr:row>77</xdr:row>
      <xdr:rowOff>9525</xdr:rowOff>
    </xdr:from>
    <xdr:to>
      <xdr:col>7</xdr:col>
      <xdr:colOff>333525</xdr:colOff>
      <xdr:row>78</xdr:row>
      <xdr:rowOff>143025</xdr:rowOff>
    </xdr:to>
    <xdr:sp macro="" textlink="">
      <xdr:nvSpPr>
        <xdr:cNvPr id="8" name="Ovál 7"/>
        <xdr:cNvSpPr/>
      </xdr:nvSpPr>
      <xdr:spPr>
        <a:xfrm>
          <a:off x="2409825" y="12877800"/>
          <a:ext cx="324000" cy="324000"/>
        </a:xfrm>
        <a:prstGeom prst="ellipse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0</xdr:col>
      <xdr:colOff>171450</xdr:colOff>
      <xdr:row>22</xdr:row>
      <xdr:rowOff>95250</xdr:rowOff>
    </xdr:from>
    <xdr:to>
      <xdr:col>10</xdr:col>
      <xdr:colOff>161925</xdr:colOff>
      <xdr:row>33</xdr:row>
      <xdr:rowOff>114300</xdr:rowOff>
    </xdr:to>
    <xdr:cxnSp macro="">
      <xdr:nvCxnSpPr>
        <xdr:cNvPr id="5" name="Rovná spojnica 4"/>
        <xdr:cNvCxnSpPr/>
      </xdr:nvCxnSpPr>
      <xdr:spPr>
        <a:xfrm>
          <a:off x="171450" y="4324350"/>
          <a:ext cx="3419475" cy="2143125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171450</xdr:colOff>
      <xdr:row>23</xdr:row>
      <xdr:rowOff>95251</xdr:rowOff>
    </xdr:from>
    <xdr:to>
      <xdr:col>10</xdr:col>
      <xdr:colOff>190500</xdr:colOff>
      <xdr:row>33</xdr:row>
      <xdr:rowOff>85725</xdr:rowOff>
    </xdr:to>
    <xdr:cxnSp macro="">
      <xdr:nvCxnSpPr>
        <xdr:cNvPr id="9" name="Rovná spojnica 8"/>
        <xdr:cNvCxnSpPr/>
      </xdr:nvCxnSpPr>
      <xdr:spPr>
        <a:xfrm flipV="1">
          <a:off x="171450" y="4533901"/>
          <a:ext cx="3448050" cy="1904999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96</xdr:row>
      <xdr:rowOff>28575</xdr:rowOff>
    </xdr:from>
    <xdr:to>
      <xdr:col>7</xdr:col>
      <xdr:colOff>333525</xdr:colOff>
      <xdr:row>97</xdr:row>
      <xdr:rowOff>162075</xdr:rowOff>
    </xdr:to>
    <xdr:sp macro="" textlink="">
      <xdr:nvSpPr>
        <xdr:cNvPr id="10" name="Ovál 9"/>
        <xdr:cNvSpPr/>
      </xdr:nvSpPr>
      <xdr:spPr>
        <a:xfrm>
          <a:off x="2409825" y="18488025"/>
          <a:ext cx="324000" cy="324000"/>
        </a:xfrm>
        <a:prstGeom prst="ellipse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7</xdr:col>
      <xdr:colOff>9525</xdr:colOff>
      <xdr:row>102</xdr:row>
      <xdr:rowOff>28575</xdr:rowOff>
    </xdr:from>
    <xdr:to>
      <xdr:col>7</xdr:col>
      <xdr:colOff>333525</xdr:colOff>
      <xdr:row>103</xdr:row>
      <xdr:rowOff>162075</xdr:rowOff>
    </xdr:to>
    <xdr:sp macro="" textlink="">
      <xdr:nvSpPr>
        <xdr:cNvPr id="11" name="Ovál 10"/>
        <xdr:cNvSpPr/>
      </xdr:nvSpPr>
      <xdr:spPr>
        <a:xfrm>
          <a:off x="2066925" y="18478500"/>
          <a:ext cx="324000" cy="324000"/>
        </a:xfrm>
        <a:prstGeom prst="ellipse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23</xdr:col>
      <xdr:colOff>9525</xdr:colOff>
      <xdr:row>99</xdr:row>
      <xdr:rowOff>28575</xdr:rowOff>
    </xdr:from>
    <xdr:to>
      <xdr:col>23</xdr:col>
      <xdr:colOff>333525</xdr:colOff>
      <xdr:row>100</xdr:row>
      <xdr:rowOff>162075</xdr:rowOff>
    </xdr:to>
    <xdr:sp macro="" textlink="">
      <xdr:nvSpPr>
        <xdr:cNvPr id="12" name="Ovál 11"/>
        <xdr:cNvSpPr/>
      </xdr:nvSpPr>
      <xdr:spPr>
        <a:xfrm>
          <a:off x="2066925" y="18478500"/>
          <a:ext cx="324000" cy="324000"/>
        </a:xfrm>
        <a:prstGeom prst="ellipse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7</xdr:col>
      <xdr:colOff>9525</xdr:colOff>
      <xdr:row>110</xdr:row>
      <xdr:rowOff>28575</xdr:rowOff>
    </xdr:from>
    <xdr:to>
      <xdr:col>7</xdr:col>
      <xdr:colOff>333525</xdr:colOff>
      <xdr:row>111</xdr:row>
      <xdr:rowOff>162075</xdr:rowOff>
    </xdr:to>
    <xdr:sp macro="" textlink="">
      <xdr:nvSpPr>
        <xdr:cNvPr id="13" name="Ovál 12"/>
        <xdr:cNvSpPr/>
      </xdr:nvSpPr>
      <xdr:spPr>
        <a:xfrm>
          <a:off x="2409825" y="18478500"/>
          <a:ext cx="324000" cy="324000"/>
        </a:xfrm>
        <a:prstGeom prst="ellipse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7</xdr:col>
      <xdr:colOff>9525</xdr:colOff>
      <xdr:row>116</xdr:row>
      <xdr:rowOff>28575</xdr:rowOff>
    </xdr:from>
    <xdr:to>
      <xdr:col>7</xdr:col>
      <xdr:colOff>333525</xdr:colOff>
      <xdr:row>117</xdr:row>
      <xdr:rowOff>162075</xdr:rowOff>
    </xdr:to>
    <xdr:sp macro="" textlink="">
      <xdr:nvSpPr>
        <xdr:cNvPr id="14" name="Ovál 13"/>
        <xdr:cNvSpPr/>
      </xdr:nvSpPr>
      <xdr:spPr>
        <a:xfrm>
          <a:off x="2409825" y="19621500"/>
          <a:ext cx="324000" cy="324000"/>
        </a:xfrm>
        <a:prstGeom prst="ellipse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23</xdr:col>
      <xdr:colOff>9525</xdr:colOff>
      <xdr:row>113</xdr:row>
      <xdr:rowOff>28575</xdr:rowOff>
    </xdr:from>
    <xdr:to>
      <xdr:col>23</xdr:col>
      <xdr:colOff>333525</xdr:colOff>
      <xdr:row>114</xdr:row>
      <xdr:rowOff>162075</xdr:rowOff>
    </xdr:to>
    <xdr:sp macro="" textlink="">
      <xdr:nvSpPr>
        <xdr:cNvPr id="15" name="Ovál 14"/>
        <xdr:cNvSpPr/>
      </xdr:nvSpPr>
      <xdr:spPr>
        <a:xfrm>
          <a:off x="7896225" y="19050000"/>
          <a:ext cx="324000" cy="324000"/>
        </a:xfrm>
        <a:prstGeom prst="ellipse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8</xdr:col>
      <xdr:colOff>9525</xdr:colOff>
      <xdr:row>125</xdr:row>
      <xdr:rowOff>9525</xdr:rowOff>
    </xdr:from>
    <xdr:to>
      <xdr:col>8</xdr:col>
      <xdr:colOff>333525</xdr:colOff>
      <xdr:row>126</xdr:row>
      <xdr:rowOff>143025</xdr:rowOff>
    </xdr:to>
    <xdr:sp macro="" textlink="">
      <xdr:nvSpPr>
        <xdr:cNvPr id="16" name="Ovál 15"/>
        <xdr:cNvSpPr/>
      </xdr:nvSpPr>
      <xdr:spPr>
        <a:xfrm>
          <a:off x="2409825" y="12887325"/>
          <a:ext cx="324000" cy="324000"/>
        </a:xfrm>
        <a:prstGeom prst="ellipse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3</xdr:col>
      <xdr:colOff>276225</xdr:colOff>
      <xdr:row>123</xdr:row>
      <xdr:rowOff>123825</xdr:rowOff>
    </xdr:from>
    <xdr:to>
      <xdr:col>4</xdr:col>
      <xdr:colOff>77325</xdr:colOff>
      <xdr:row>124</xdr:row>
      <xdr:rowOff>77325</xdr:rowOff>
    </xdr:to>
    <xdr:sp macro="" textlink="">
      <xdr:nvSpPr>
        <xdr:cNvPr id="17" name="Ovál 16"/>
        <xdr:cNvSpPr/>
      </xdr:nvSpPr>
      <xdr:spPr>
        <a:xfrm>
          <a:off x="1304925" y="23764875"/>
          <a:ext cx="144000" cy="144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7</xdr:col>
      <xdr:colOff>9525</xdr:colOff>
      <xdr:row>135</xdr:row>
      <xdr:rowOff>9525</xdr:rowOff>
    </xdr:from>
    <xdr:to>
      <xdr:col>7</xdr:col>
      <xdr:colOff>333525</xdr:colOff>
      <xdr:row>136</xdr:row>
      <xdr:rowOff>143025</xdr:rowOff>
    </xdr:to>
    <xdr:sp macro="" textlink="">
      <xdr:nvSpPr>
        <xdr:cNvPr id="18" name="Ovál 17"/>
        <xdr:cNvSpPr/>
      </xdr:nvSpPr>
      <xdr:spPr>
        <a:xfrm>
          <a:off x="2409825" y="12887325"/>
          <a:ext cx="324000" cy="324000"/>
        </a:xfrm>
        <a:prstGeom prst="ellipse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10</xdr:col>
      <xdr:colOff>276225</xdr:colOff>
      <xdr:row>135</xdr:row>
      <xdr:rowOff>123825</xdr:rowOff>
    </xdr:from>
    <xdr:to>
      <xdr:col>11</xdr:col>
      <xdr:colOff>77325</xdr:colOff>
      <xdr:row>136</xdr:row>
      <xdr:rowOff>77325</xdr:rowOff>
    </xdr:to>
    <xdr:sp macro="" textlink="">
      <xdr:nvSpPr>
        <xdr:cNvPr id="19" name="Ovál 18"/>
        <xdr:cNvSpPr/>
      </xdr:nvSpPr>
      <xdr:spPr>
        <a:xfrm>
          <a:off x="3705225" y="26069925"/>
          <a:ext cx="144000" cy="144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15</xdr:col>
      <xdr:colOff>9525</xdr:colOff>
      <xdr:row>135</xdr:row>
      <xdr:rowOff>9525</xdr:rowOff>
    </xdr:from>
    <xdr:to>
      <xdr:col>15</xdr:col>
      <xdr:colOff>333525</xdr:colOff>
      <xdr:row>136</xdr:row>
      <xdr:rowOff>143025</xdr:rowOff>
    </xdr:to>
    <xdr:sp macro="" textlink="">
      <xdr:nvSpPr>
        <xdr:cNvPr id="21" name="Ovál 20"/>
        <xdr:cNvSpPr/>
      </xdr:nvSpPr>
      <xdr:spPr>
        <a:xfrm>
          <a:off x="2752725" y="24031575"/>
          <a:ext cx="324000" cy="324000"/>
        </a:xfrm>
        <a:prstGeom prst="ellipse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8</xdr:col>
      <xdr:colOff>9525</xdr:colOff>
      <xdr:row>145</xdr:row>
      <xdr:rowOff>9525</xdr:rowOff>
    </xdr:from>
    <xdr:to>
      <xdr:col>8</xdr:col>
      <xdr:colOff>333525</xdr:colOff>
      <xdr:row>146</xdr:row>
      <xdr:rowOff>143025</xdr:rowOff>
    </xdr:to>
    <xdr:sp macro="" textlink="">
      <xdr:nvSpPr>
        <xdr:cNvPr id="22" name="Ovál 21"/>
        <xdr:cNvSpPr/>
      </xdr:nvSpPr>
      <xdr:spPr>
        <a:xfrm>
          <a:off x="2752725" y="24031575"/>
          <a:ext cx="324000" cy="324000"/>
        </a:xfrm>
        <a:prstGeom prst="ellipse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3</xdr:col>
      <xdr:colOff>276225</xdr:colOff>
      <xdr:row>143</xdr:row>
      <xdr:rowOff>123825</xdr:rowOff>
    </xdr:from>
    <xdr:to>
      <xdr:col>4</xdr:col>
      <xdr:colOff>77325</xdr:colOff>
      <xdr:row>144</xdr:row>
      <xdr:rowOff>77325</xdr:rowOff>
    </xdr:to>
    <xdr:sp macro="" textlink="">
      <xdr:nvSpPr>
        <xdr:cNvPr id="23" name="Ovál 22"/>
        <xdr:cNvSpPr/>
      </xdr:nvSpPr>
      <xdr:spPr>
        <a:xfrm>
          <a:off x="1304925" y="23764875"/>
          <a:ext cx="144000" cy="144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8</xdr:col>
      <xdr:colOff>9525</xdr:colOff>
      <xdr:row>154</xdr:row>
      <xdr:rowOff>9525</xdr:rowOff>
    </xdr:from>
    <xdr:to>
      <xdr:col>8</xdr:col>
      <xdr:colOff>333525</xdr:colOff>
      <xdr:row>155</xdr:row>
      <xdr:rowOff>143025</xdr:rowOff>
    </xdr:to>
    <xdr:sp macro="" textlink="">
      <xdr:nvSpPr>
        <xdr:cNvPr id="24" name="Ovál 23"/>
        <xdr:cNvSpPr/>
      </xdr:nvSpPr>
      <xdr:spPr>
        <a:xfrm>
          <a:off x="2752725" y="27870150"/>
          <a:ext cx="324000" cy="324000"/>
        </a:xfrm>
        <a:prstGeom prst="ellipse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3</xdr:col>
      <xdr:colOff>276225</xdr:colOff>
      <xdr:row>152</xdr:row>
      <xdr:rowOff>123825</xdr:rowOff>
    </xdr:from>
    <xdr:to>
      <xdr:col>4</xdr:col>
      <xdr:colOff>77325</xdr:colOff>
      <xdr:row>153</xdr:row>
      <xdr:rowOff>77325</xdr:rowOff>
    </xdr:to>
    <xdr:sp macro="" textlink="">
      <xdr:nvSpPr>
        <xdr:cNvPr id="25" name="Ovál 24"/>
        <xdr:cNvSpPr/>
      </xdr:nvSpPr>
      <xdr:spPr>
        <a:xfrm>
          <a:off x="1304925" y="27603450"/>
          <a:ext cx="144000" cy="144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16</xdr:col>
      <xdr:colOff>9525</xdr:colOff>
      <xdr:row>150</xdr:row>
      <xdr:rowOff>9525</xdr:rowOff>
    </xdr:from>
    <xdr:to>
      <xdr:col>16</xdr:col>
      <xdr:colOff>333525</xdr:colOff>
      <xdr:row>151</xdr:row>
      <xdr:rowOff>143025</xdr:rowOff>
    </xdr:to>
    <xdr:sp macro="" textlink="">
      <xdr:nvSpPr>
        <xdr:cNvPr id="28" name="Ovál 27"/>
        <xdr:cNvSpPr/>
      </xdr:nvSpPr>
      <xdr:spPr>
        <a:xfrm>
          <a:off x="2409825" y="25955625"/>
          <a:ext cx="324000" cy="324000"/>
        </a:xfrm>
        <a:prstGeom prst="ellipse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8</xdr:col>
      <xdr:colOff>9525</xdr:colOff>
      <xdr:row>165</xdr:row>
      <xdr:rowOff>28575</xdr:rowOff>
    </xdr:from>
    <xdr:to>
      <xdr:col>8</xdr:col>
      <xdr:colOff>333525</xdr:colOff>
      <xdr:row>166</xdr:row>
      <xdr:rowOff>162075</xdr:rowOff>
    </xdr:to>
    <xdr:sp macro="" textlink="">
      <xdr:nvSpPr>
        <xdr:cNvPr id="30" name="Ovál 29"/>
        <xdr:cNvSpPr/>
      </xdr:nvSpPr>
      <xdr:spPr>
        <a:xfrm>
          <a:off x="2409825" y="22317075"/>
          <a:ext cx="324000" cy="324000"/>
        </a:xfrm>
        <a:prstGeom prst="ellipse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3</xdr:col>
      <xdr:colOff>276225</xdr:colOff>
      <xdr:row>162</xdr:row>
      <xdr:rowOff>114300</xdr:rowOff>
    </xdr:from>
    <xdr:to>
      <xdr:col>4</xdr:col>
      <xdr:colOff>77325</xdr:colOff>
      <xdr:row>163</xdr:row>
      <xdr:rowOff>67800</xdr:rowOff>
    </xdr:to>
    <xdr:sp macro="" textlink="">
      <xdr:nvSpPr>
        <xdr:cNvPr id="31" name="Ovál 30"/>
        <xdr:cNvSpPr/>
      </xdr:nvSpPr>
      <xdr:spPr>
        <a:xfrm>
          <a:off x="962025" y="31613475"/>
          <a:ext cx="144000" cy="144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8</xdr:col>
      <xdr:colOff>9525</xdr:colOff>
      <xdr:row>175</xdr:row>
      <xdr:rowOff>28575</xdr:rowOff>
    </xdr:from>
    <xdr:to>
      <xdr:col>8</xdr:col>
      <xdr:colOff>333525</xdr:colOff>
      <xdr:row>176</xdr:row>
      <xdr:rowOff>162075</xdr:rowOff>
    </xdr:to>
    <xdr:sp macro="" textlink="">
      <xdr:nvSpPr>
        <xdr:cNvPr id="32" name="Ovál 31"/>
        <xdr:cNvSpPr/>
      </xdr:nvSpPr>
      <xdr:spPr>
        <a:xfrm>
          <a:off x="2752725" y="32099250"/>
          <a:ext cx="324000" cy="324000"/>
        </a:xfrm>
        <a:prstGeom prst="ellipse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3</xdr:col>
      <xdr:colOff>276225</xdr:colOff>
      <xdr:row>172</xdr:row>
      <xdr:rowOff>114300</xdr:rowOff>
    </xdr:from>
    <xdr:to>
      <xdr:col>4</xdr:col>
      <xdr:colOff>77325</xdr:colOff>
      <xdr:row>173</xdr:row>
      <xdr:rowOff>67800</xdr:rowOff>
    </xdr:to>
    <xdr:sp macro="" textlink="">
      <xdr:nvSpPr>
        <xdr:cNvPr id="33" name="Ovál 32"/>
        <xdr:cNvSpPr/>
      </xdr:nvSpPr>
      <xdr:spPr>
        <a:xfrm>
          <a:off x="1304925" y="31613475"/>
          <a:ext cx="144000" cy="144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8</xdr:col>
      <xdr:colOff>9525</xdr:colOff>
      <xdr:row>185</xdr:row>
      <xdr:rowOff>28575</xdr:rowOff>
    </xdr:from>
    <xdr:to>
      <xdr:col>8</xdr:col>
      <xdr:colOff>333525</xdr:colOff>
      <xdr:row>186</xdr:row>
      <xdr:rowOff>162075</xdr:rowOff>
    </xdr:to>
    <xdr:sp macro="" textlink="">
      <xdr:nvSpPr>
        <xdr:cNvPr id="34" name="Ovál 33"/>
        <xdr:cNvSpPr/>
      </xdr:nvSpPr>
      <xdr:spPr>
        <a:xfrm>
          <a:off x="2752725" y="33623250"/>
          <a:ext cx="324000" cy="324000"/>
        </a:xfrm>
        <a:prstGeom prst="ellipse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3</xdr:col>
      <xdr:colOff>276225</xdr:colOff>
      <xdr:row>182</xdr:row>
      <xdr:rowOff>114300</xdr:rowOff>
    </xdr:from>
    <xdr:to>
      <xdr:col>4</xdr:col>
      <xdr:colOff>77325</xdr:colOff>
      <xdr:row>183</xdr:row>
      <xdr:rowOff>67800</xdr:rowOff>
    </xdr:to>
    <xdr:sp macro="" textlink="">
      <xdr:nvSpPr>
        <xdr:cNvPr id="35" name="Ovál 34"/>
        <xdr:cNvSpPr/>
      </xdr:nvSpPr>
      <xdr:spPr>
        <a:xfrm>
          <a:off x="1304925" y="33137475"/>
          <a:ext cx="144000" cy="144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11</xdr:col>
      <xdr:colOff>276225</xdr:colOff>
      <xdr:row>172</xdr:row>
      <xdr:rowOff>114300</xdr:rowOff>
    </xdr:from>
    <xdr:to>
      <xdr:col>12</xdr:col>
      <xdr:colOff>77325</xdr:colOff>
      <xdr:row>173</xdr:row>
      <xdr:rowOff>67800</xdr:rowOff>
    </xdr:to>
    <xdr:sp macro="" textlink="">
      <xdr:nvSpPr>
        <xdr:cNvPr id="36" name="Ovál 35"/>
        <xdr:cNvSpPr/>
      </xdr:nvSpPr>
      <xdr:spPr>
        <a:xfrm>
          <a:off x="4733925" y="34851975"/>
          <a:ext cx="144000" cy="144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12</xdr:col>
      <xdr:colOff>276225</xdr:colOff>
      <xdr:row>173</xdr:row>
      <xdr:rowOff>123825</xdr:rowOff>
    </xdr:from>
    <xdr:to>
      <xdr:col>13</xdr:col>
      <xdr:colOff>77325</xdr:colOff>
      <xdr:row>174</xdr:row>
      <xdr:rowOff>77325</xdr:rowOff>
    </xdr:to>
    <xdr:sp macro="" textlink="">
      <xdr:nvSpPr>
        <xdr:cNvPr id="37" name="Ovál 36"/>
        <xdr:cNvSpPr/>
      </xdr:nvSpPr>
      <xdr:spPr>
        <a:xfrm>
          <a:off x="5076825" y="35052000"/>
          <a:ext cx="144000" cy="144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12</xdr:col>
      <xdr:colOff>274320</xdr:colOff>
      <xdr:row>181</xdr:row>
      <xdr:rowOff>99060</xdr:rowOff>
    </xdr:from>
    <xdr:to>
      <xdr:col>13</xdr:col>
      <xdr:colOff>75420</xdr:colOff>
      <xdr:row>182</xdr:row>
      <xdr:rowOff>52560</xdr:rowOff>
    </xdr:to>
    <xdr:sp macro="" textlink="">
      <xdr:nvSpPr>
        <xdr:cNvPr id="38" name="Ovál 37"/>
        <xdr:cNvSpPr/>
      </xdr:nvSpPr>
      <xdr:spPr>
        <a:xfrm>
          <a:off x="5181600" y="35547300"/>
          <a:ext cx="151620" cy="144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11</xdr:col>
      <xdr:colOff>266700</xdr:colOff>
      <xdr:row>183</xdr:row>
      <xdr:rowOff>106680</xdr:rowOff>
    </xdr:from>
    <xdr:to>
      <xdr:col>12</xdr:col>
      <xdr:colOff>67800</xdr:colOff>
      <xdr:row>184</xdr:row>
      <xdr:rowOff>60180</xdr:rowOff>
    </xdr:to>
    <xdr:sp macro="" textlink="">
      <xdr:nvSpPr>
        <xdr:cNvPr id="39" name="Ovál 38"/>
        <xdr:cNvSpPr/>
      </xdr:nvSpPr>
      <xdr:spPr>
        <a:xfrm>
          <a:off x="4823460" y="35935920"/>
          <a:ext cx="151620" cy="144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10</xdr:col>
      <xdr:colOff>274320</xdr:colOff>
      <xdr:row>177</xdr:row>
      <xdr:rowOff>114300</xdr:rowOff>
    </xdr:from>
    <xdr:to>
      <xdr:col>11</xdr:col>
      <xdr:colOff>75420</xdr:colOff>
      <xdr:row>178</xdr:row>
      <xdr:rowOff>67800</xdr:rowOff>
    </xdr:to>
    <xdr:sp macro="" textlink="">
      <xdr:nvSpPr>
        <xdr:cNvPr id="40" name="Ovál 39"/>
        <xdr:cNvSpPr/>
      </xdr:nvSpPr>
      <xdr:spPr>
        <a:xfrm>
          <a:off x="4480560" y="34610040"/>
          <a:ext cx="151620" cy="144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10</xdr:col>
      <xdr:colOff>274320</xdr:colOff>
      <xdr:row>182</xdr:row>
      <xdr:rowOff>114300</xdr:rowOff>
    </xdr:from>
    <xdr:to>
      <xdr:col>11</xdr:col>
      <xdr:colOff>75420</xdr:colOff>
      <xdr:row>183</xdr:row>
      <xdr:rowOff>67800</xdr:rowOff>
    </xdr:to>
    <xdr:sp macro="" textlink="">
      <xdr:nvSpPr>
        <xdr:cNvPr id="41" name="Ovál 40"/>
        <xdr:cNvSpPr/>
      </xdr:nvSpPr>
      <xdr:spPr>
        <a:xfrm>
          <a:off x="4480560" y="35753040"/>
          <a:ext cx="151620" cy="144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266700</xdr:colOff>
      <xdr:row>219</xdr:row>
      <xdr:rowOff>114300</xdr:rowOff>
    </xdr:from>
    <xdr:to>
      <xdr:col>5</xdr:col>
      <xdr:colOff>67800</xdr:colOff>
      <xdr:row>220</xdr:row>
      <xdr:rowOff>67800</xdr:rowOff>
    </xdr:to>
    <xdr:sp macro="" textlink="">
      <xdr:nvSpPr>
        <xdr:cNvPr id="42" name="Ovál 41"/>
        <xdr:cNvSpPr/>
      </xdr:nvSpPr>
      <xdr:spPr>
        <a:xfrm>
          <a:off x="1668780" y="42245280"/>
          <a:ext cx="151620" cy="144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274320</xdr:colOff>
      <xdr:row>207</xdr:row>
      <xdr:rowOff>121920</xdr:rowOff>
    </xdr:from>
    <xdr:to>
      <xdr:col>5</xdr:col>
      <xdr:colOff>75420</xdr:colOff>
      <xdr:row>208</xdr:row>
      <xdr:rowOff>75420</xdr:rowOff>
    </xdr:to>
    <xdr:sp macro="" textlink="">
      <xdr:nvSpPr>
        <xdr:cNvPr id="43" name="Ovál 42"/>
        <xdr:cNvSpPr/>
      </xdr:nvSpPr>
      <xdr:spPr>
        <a:xfrm>
          <a:off x="1676400" y="39966900"/>
          <a:ext cx="151620" cy="144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3</xdr:col>
      <xdr:colOff>281940</xdr:colOff>
      <xdr:row>199</xdr:row>
      <xdr:rowOff>114300</xdr:rowOff>
    </xdr:from>
    <xdr:to>
      <xdr:col>4</xdr:col>
      <xdr:colOff>83040</xdr:colOff>
      <xdr:row>200</xdr:row>
      <xdr:rowOff>67800</xdr:rowOff>
    </xdr:to>
    <xdr:sp macro="" textlink="">
      <xdr:nvSpPr>
        <xdr:cNvPr id="44" name="Ovál 43"/>
        <xdr:cNvSpPr/>
      </xdr:nvSpPr>
      <xdr:spPr>
        <a:xfrm>
          <a:off x="1333500" y="38435280"/>
          <a:ext cx="151620" cy="144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3</xdr:col>
      <xdr:colOff>281940</xdr:colOff>
      <xdr:row>225</xdr:row>
      <xdr:rowOff>114300</xdr:rowOff>
    </xdr:from>
    <xdr:to>
      <xdr:col>4</xdr:col>
      <xdr:colOff>83040</xdr:colOff>
      <xdr:row>226</xdr:row>
      <xdr:rowOff>67800</xdr:rowOff>
    </xdr:to>
    <xdr:sp macro="" textlink="">
      <xdr:nvSpPr>
        <xdr:cNvPr id="45" name="Ovál 44"/>
        <xdr:cNvSpPr/>
      </xdr:nvSpPr>
      <xdr:spPr>
        <a:xfrm>
          <a:off x="1333500" y="38252400"/>
          <a:ext cx="151620" cy="144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9</xdr:col>
      <xdr:colOff>7620</xdr:colOff>
      <xdr:row>227</xdr:row>
      <xdr:rowOff>30480</xdr:rowOff>
    </xdr:from>
    <xdr:to>
      <xdr:col>9</xdr:col>
      <xdr:colOff>331620</xdr:colOff>
      <xdr:row>228</xdr:row>
      <xdr:rowOff>163980</xdr:rowOff>
    </xdr:to>
    <xdr:sp macro="" textlink="">
      <xdr:nvSpPr>
        <xdr:cNvPr id="46" name="Ovál 45"/>
        <xdr:cNvSpPr/>
      </xdr:nvSpPr>
      <xdr:spPr>
        <a:xfrm>
          <a:off x="3162300" y="43517820"/>
          <a:ext cx="324000" cy="324000"/>
        </a:xfrm>
        <a:prstGeom prst="ellipse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9</xdr:col>
      <xdr:colOff>7620</xdr:colOff>
      <xdr:row>235</xdr:row>
      <xdr:rowOff>30480</xdr:rowOff>
    </xdr:from>
    <xdr:to>
      <xdr:col>9</xdr:col>
      <xdr:colOff>331620</xdr:colOff>
      <xdr:row>236</xdr:row>
      <xdr:rowOff>163980</xdr:rowOff>
    </xdr:to>
    <xdr:sp macro="" textlink="">
      <xdr:nvSpPr>
        <xdr:cNvPr id="48" name="Ovál 47"/>
        <xdr:cNvSpPr/>
      </xdr:nvSpPr>
      <xdr:spPr>
        <a:xfrm>
          <a:off x="3162300" y="43510200"/>
          <a:ext cx="324000" cy="324000"/>
        </a:xfrm>
        <a:prstGeom prst="ellipse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266700</xdr:colOff>
      <xdr:row>233</xdr:row>
      <xdr:rowOff>121920</xdr:rowOff>
    </xdr:from>
    <xdr:to>
      <xdr:col>5</xdr:col>
      <xdr:colOff>67800</xdr:colOff>
      <xdr:row>234</xdr:row>
      <xdr:rowOff>75420</xdr:rowOff>
    </xdr:to>
    <xdr:sp macro="" textlink="">
      <xdr:nvSpPr>
        <xdr:cNvPr id="49" name="Ovál 48"/>
        <xdr:cNvSpPr/>
      </xdr:nvSpPr>
      <xdr:spPr>
        <a:xfrm>
          <a:off x="1668780" y="44744640"/>
          <a:ext cx="151620" cy="144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9</xdr:col>
      <xdr:colOff>7620</xdr:colOff>
      <xdr:row>243</xdr:row>
      <xdr:rowOff>30480</xdr:rowOff>
    </xdr:from>
    <xdr:to>
      <xdr:col>9</xdr:col>
      <xdr:colOff>331620</xdr:colOff>
      <xdr:row>244</xdr:row>
      <xdr:rowOff>163980</xdr:rowOff>
    </xdr:to>
    <xdr:sp macro="" textlink="">
      <xdr:nvSpPr>
        <xdr:cNvPr id="50" name="Ovál 49"/>
        <xdr:cNvSpPr/>
      </xdr:nvSpPr>
      <xdr:spPr>
        <a:xfrm>
          <a:off x="3162300" y="43510200"/>
          <a:ext cx="324000" cy="324000"/>
        </a:xfrm>
        <a:prstGeom prst="ellipse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281940</xdr:colOff>
      <xdr:row>245</xdr:row>
      <xdr:rowOff>114300</xdr:rowOff>
    </xdr:from>
    <xdr:to>
      <xdr:col>5</xdr:col>
      <xdr:colOff>83040</xdr:colOff>
      <xdr:row>246</xdr:row>
      <xdr:rowOff>67800</xdr:rowOff>
    </xdr:to>
    <xdr:sp macro="" textlink="">
      <xdr:nvSpPr>
        <xdr:cNvPr id="51" name="Ovál 50"/>
        <xdr:cNvSpPr/>
      </xdr:nvSpPr>
      <xdr:spPr>
        <a:xfrm>
          <a:off x="1684020" y="47023020"/>
          <a:ext cx="151620" cy="144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16</xdr:col>
      <xdr:colOff>22860</xdr:colOff>
      <xdr:row>235</xdr:row>
      <xdr:rowOff>22860</xdr:rowOff>
    </xdr:from>
    <xdr:to>
      <xdr:col>16</xdr:col>
      <xdr:colOff>346860</xdr:colOff>
      <xdr:row>236</xdr:row>
      <xdr:rowOff>156360</xdr:rowOff>
    </xdr:to>
    <xdr:sp macro="" textlink="">
      <xdr:nvSpPr>
        <xdr:cNvPr id="52" name="Ovál 51"/>
        <xdr:cNvSpPr/>
      </xdr:nvSpPr>
      <xdr:spPr>
        <a:xfrm>
          <a:off x="5280660" y="45026580"/>
          <a:ext cx="324000" cy="324000"/>
        </a:xfrm>
        <a:prstGeom prst="ellipse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8</xdr:col>
      <xdr:colOff>9525</xdr:colOff>
      <xdr:row>255</xdr:row>
      <xdr:rowOff>28575</xdr:rowOff>
    </xdr:from>
    <xdr:to>
      <xdr:col>8</xdr:col>
      <xdr:colOff>333525</xdr:colOff>
      <xdr:row>256</xdr:row>
      <xdr:rowOff>162075</xdr:rowOff>
    </xdr:to>
    <xdr:sp macro="" textlink="">
      <xdr:nvSpPr>
        <xdr:cNvPr id="53" name="Ovál 52"/>
        <xdr:cNvSpPr/>
      </xdr:nvSpPr>
      <xdr:spPr>
        <a:xfrm>
          <a:off x="2813685" y="35484435"/>
          <a:ext cx="324000" cy="324000"/>
        </a:xfrm>
        <a:prstGeom prst="ellipse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3</xdr:col>
      <xdr:colOff>280035</xdr:colOff>
      <xdr:row>255</xdr:row>
      <xdr:rowOff>114300</xdr:rowOff>
    </xdr:from>
    <xdr:to>
      <xdr:col>4</xdr:col>
      <xdr:colOff>81135</xdr:colOff>
      <xdr:row>256</xdr:row>
      <xdr:rowOff>67800</xdr:rowOff>
    </xdr:to>
    <xdr:sp macro="" textlink="">
      <xdr:nvSpPr>
        <xdr:cNvPr id="54" name="Ovál 53"/>
        <xdr:cNvSpPr/>
      </xdr:nvSpPr>
      <xdr:spPr>
        <a:xfrm>
          <a:off x="1308735" y="48815625"/>
          <a:ext cx="144000" cy="144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8</xdr:col>
      <xdr:colOff>7620</xdr:colOff>
      <xdr:row>271</xdr:row>
      <xdr:rowOff>30480</xdr:rowOff>
    </xdr:from>
    <xdr:to>
      <xdr:col>8</xdr:col>
      <xdr:colOff>331620</xdr:colOff>
      <xdr:row>272</xdr:row>
      <xdr:rowOff>163980</xdr:rowOff>
    </xdr:to>
    <xdr:sp macro="" textlink="">
      <xdr:nvSpPr>
        <xdr:cNvPr id="55" name="Ovál 54"/>
        <xdr:cNvSpPr/>
      </xdr:nvSpPr>
      <xdr:spPr>
        <a:xfrm>
          <a:off x="2811780" y="51930300"/>
          <a:ext cx="324000" cy="324000"/>
        </a:xfrm>
        <a:prstGeom prst="ellipse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8</xdr:col>
      <xdr:colOff>7620</xdr:colOff>
      <xdr:row>281</xdr:row>
      <xdr:rowOff>30480</xdr:rowOff>
    </xdr:from>
    <xdr:to>
      <xdr:col>8</xdr:col>
      <xdr:colOff>331620</xdr:colOff>
      <xdr:row>282</xdr:row>
      <xdr:rowOff>163980</xdr:rowOff>
    </xdr:to>
    <xdr:sp macro="" textlink="">
      <xdr:nvSpPr>
        <xdr:cNvPr id="56" name="Ovál 55"/>
        <xdr:cNvSpPr/>
      </xdr:nvSpPr>
      <xdr:spPr>
        <a:xfrm>
          <a:off x="2811780" y="51930300"/>
          <a:ext cx="324000" cy="324000"/>
        </a:xfrm>
        <a:prstGeom prst="ellipse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8</xdr:col>
      <xdr:colOff>7620</xdr:colOff>
      <xdr:row>291</xdr:row>
      <xdr:rowOff>30480</xdr:rowOff>
    </xdr:from>
    <xdr:to>
      <xdr:col>8</xdr:col>
      <xdr:colOff>331620</xdr:colOff>
      <xdr:row>292</xdr:row>
      <xdr:rowOff>163980</xdr:rowOff>
    </xdr:to>
    <xdr:sp macro="" textlink="">
      <xdr:nvSpPr>
        <xdr:cNvPr id="57" name="Ovál 56"/>
        <xdr:cNvSpPr/>
      </xdr:nvSpPr>
      <xdr:spPr>
        <a:xfrm>
          <a:off x="2811780" y="51930300"/>
          <a:ext cx="324000" cy="324000"/>
        </a:xfrm>
        <a:prstGeom prst="ellipse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15</xdr:col>
      <xdr:colOff>7620</xdr:colOff>
      <xdr:row>286</xdr:row>
      <xdr:rowOff>30480</xdr:rowOff>
    </xdr:from>
    <xdr:to>
      <xdr:col>15</xdr:col>
      <xdr:colOff>331620</xdr:colOff>
      <xdr:row>287</xdr:row>
      <xdr:rowOff>163980</xdr:rowOff>
    </xdr:to>
    <xdr:sp macro="" textlink="">
      <xdr:nvSpPr>
        <xdr:cNvPr id="58" name="Ovál 57"/>
        <xdr:cNvSpPr/>
      </xdr:nvSpPr>
      <xdr:spPr>
        <a:xfrm>
          <a:off x="2811780" y="53850540"/>
          <a:ext cx="324000" cy="324000"/>
        </a:xfrm>
        <a:prstGeom prst="ellipse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9</xdr:col>
      <xdr:colOff>7620</xdr:colOff>
      <xdr:row>301</xdr:row>
      <xdr:rowOff>30480</xdr:rowOff>
    </xdr:from>
    <xdr:to>
      <xdr:col>9</xdr:col>
      <xdr:colOff>331620</xdr:colOff>
      <xdr:row>302</xdr:row>
      <xdr:rowOff>163980</xdr:rowOff>
    </xdr:to>
    <xdr:sp macro="" textlink="">
      <xdr:nvSpPr>
        <xdr:cNvPr id="59" name="Ovál 58"/>
        <xdr:cNvSpPr/>
      </xdr:nvSpPr>
      <xdr:spPr>
        <a:xfrm>
          <a:off x="2811780" y="53850540"/>
          <a:ext cx="324000" cy="324000"/>
        </a:xfrm>
        <a:prstGeom prst="ellipse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9</xdr:col>
      <xdr:colOff>7620</xdr:colOff>
      <xdr:row>311</xdr:row>
      <xdr:rowOff>30480</xdr:rowOff>
    </xdr:from>
    <xdr:to>
      <xdr:col>9</xdr:col>
      <xdr:colOff>331620</xdr:colOff>
      <xdr:row>312</xdr:row>
      <xdr:rowOff>163980</xdr:rowOff>
    </xdr:to>
    <xdr:sp macro="" textlink="">
      <xdr:nvSpPr>
        <xdr:cNvPr id="60" name="Ovál 59"/>
        <xdr:cNvSpPr/>
      </xdr:nvSpPr>
      <xdr:spPr>
        <a:xfrm>
          <a:off x="2811780" y="55755540"/>
          <a:ext cx="324000" cy="324000"/>
        </a:xfrm>
        <a:prstGeom prst="ellipse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15</xdr:col>
      <xdr:colOff>7620</xdr:colOff>
      <xdr:row>306</xdr:row>
      <xdr:rowOff>30480</xdr:rowOff>
    </xdr:from>
    <xdr:to>
      <xdr:col>15</xdr:col>
      <xdr:colOff>331620</xdr:colOff>
      <xdr:row>307</xdr:row>
      <xdr:rowOff>163980</xdr:rowOff>
    </xdr:to>
    <xdr:sp macro="" textlink="">
      <xdr:nvSpPr>
        <xdr:cNvPr id="61" name="Ovál 60"/>
        <xdr:cNvSpPr/>
      </xdr:nvSpPr>
      <xdr:spPr>
        <a:xfrm>
          <a:off x="5265420" y="54803040"/>
          <a:ext cx="324000" cy="324000"/>
        </a:xfrm>
        <a:prstGeom prst="ellipse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220980</xdr:colOff>
      <xdr:row>5</xdr:row>
      <xdr:rowOff>114300</xdr:rowOff>
    </xdr:from>
    <xdr:to>
      <xdr:col>8</xdr:col>
      <xdr:colOff>372600</xdr:colOff>
      <xdr:row>6</xdr:row>
      <xdr:rowOff>67800</xdr:rowOff>
    </xdr:to>
    <xdr:sp macro="" textlink="">
      <xdr:nvSpPr>
        <xdr:cNvPr id="2" name="Ovál 1"/>
        <xdr:cNvSpPr/>
      </xdr:nvSpPr>
      <xdr:spPr>
        <a:xfrm>
          <a:off x="3070860" y="1074420"/>
          <a:ext cx="151620" cy="144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8</xdr:col>
      <xdr:colOff>434340</xdr:colOff>
      <xdr:row>21</xdr:row>
      <xdr:rowOff>114300</xdr:rowOff>
    </xdr:from>
    <xdr:to>
      <xdr:col>9</xdr:col>
      <xdr:colOff>75420</xdr:colOff>
      <xdr:row>22</xdr:row>
      <xdr:rowOff>67800</xdr:rowOff>
    </xdr:to>
    <xdr:sp macro="" textlink="">
      <xdr:nvSpPr>
        <xdr:cNvPr id="6" name="Ovál 5"/>
        <xdr:cNvSpPr/>
      </xdr:nvSpPr>
      <xdr:spPr>
        <a:xfrm>
          <a:off x="3284220" y="4328160"/>
          <a:ext cx="151620" cy="144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8</xdr:col>
      <xdr:colOff>441960</xdr:colOff>
      <xdr:row>32</xdr:row>
      <xdr:rowOff>121920</xdr:rowOff>
    </xdr:from>
    <xdr:to>
      <xdr:col>9</xdr:col>
      <xdr:colOff>83040</xdr:colOff>
      <xdr:row>33</xdr:row>
      <xdr:rowOff>75420</xdr:rowOff>
    </xdr:to>
    <xdr:sp macro="" textlink="">
      <xdr:nvSpPr>
        <xdr:cNvPr id="7" name="Ovál 6"/>
        <xdr:cNvSpPr/>
      </xdr:nvSpPr>
      <xdr:spPr>
        <a:xfrm>
          <a:off x="3291840" y="6431280"/>
          <a:ext cx="151620" cy="144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</xdr:colOff>
      <xdr:row>1</xdr:row>
      <xdr:rowOff>45720</xdr:rowOff>
    </xdr:from>
    <xdr:to>
      <xdr:col>28</xdr:col>
      <xdr:colOff>190500</xdr:colOff>
      <xdr:row>27</xdr:row>
      <xdr:rowOff>152400</xdr:rowOff>
    </xdr:to>
    <xdr:pic>
      <xdr:nvPicPr>
        <xdr:cNvPr id="3" name="Obrázo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120" y="243840"/>
          <a:ext cx="7802880" cy="5059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gor.krucovcin@dualnaakademia.sk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elso.sk/blog/technologie/co-je-to-true-rms-efektivna-a-stredna-hodnota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justfreetools.com/sk/premena/konverzia-cisla/radians-to-degrees-converter?x=7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2"/>
  <sheetViews>
    <sheetView tabSelected="1" workbookViewId="0"/>
  </sheetViews>
  <sheetFormatPr defaultColWidth="9.109375" defaultRowHeight="15" x14ac:dyDescent="0.25"/>
  <cols>
    <col min="1" max="1" width="4.44140625" style="52" customWidth="1"/>
    <col min="2" max="2" width="84.109375" style="52" customWidth="1"/>
    <col min="3" max="3" width="1.44140625" style="52" customWidth="1"/>
    <col min="4" max="4" width="23.109375" style="52" customWidth="1"/>
    <col min="5" max="16384" width="9.109375" style="52"/>
  </cols>
  <sheetData>
    <row r="1" spans="2:4" ht="15.75" thickBot="1" x14ac:dyDescent="0.25"/>
    <row r="2" spans="2:4" x14ac:dyDescent="0.2">
      <c r="B2" s="60"/>
      <c r="C2" s="61"/>
      <c r="D2" s="62"/>
    </row>
    <row r="3" spans="2:4" x14ac:dyDescent="0.25">
      <c r="B3" s="63" t="s">
        <v>48</v>
      </c>
      <c r="C3" s="64"/>
      <c r="D3" s="65" t="s">
        <v>193</v>
      </c>
    </row>
    <row r="4" spans="2:4" x14ac:dyDescent="0.2">
      <c r="B4" s="66"/>
      <c r="C4" s="64"/>
      <c r="D4" s="65"/>
    </row>
    <row r="5" spans="2:4" x14ac:dyDescent="0.2">
      <c r="B5" s="66"/>
      <c r="C5" s="64"/>
      <c r="D5" s="65"/>
    </row>
    <row r="6" spans="2:4" x14ac:dyDescent="0.2">
      <c r="B6" s="66"/>
      <c r="C6" s="64"/>
      <c r="D6" s="65"/>
    </row>
    <row r="7" spans="2:4" x14ac:dyDescent="0.25">
      <c r="B7" s="66" t="s">
        <v>153</v>
      </c>
      <c r="C7" s="64"/>
      <c r="D7" s="65"/>
    </row>
    <row r="8" spans="2:4" x14ac:dyDescent="0.25">
      <c r="B8" s="66" t="s">
        <v>56</v>
      </c>
      <c r="C8" s="64"/>
      <c r="D8" s="65"/>
    </row>
    <row r="9" spans="2:4" x14ac:dyDescent="0.25">
      <c r="B9" s="66" t="s">
        <v>93</v>
      </c>
      <c r="C9" s="64"/>
      <c r="D9" s="65"/>
    </row>
    <row r="10" spans="2:4" x14ac:dyDescent="0.25">
      <c r="B10" s="66" t="s">
        <v>55</v>
      </c>
      <c r="C10" s="64"/>
      <c r="D10" s="65"/>
    </row>
    <row r="11" spans="2:4" x14ac:dyDescent="0.25">
      <c r="B11" s="66" t="s">
        <v>53</v>
      </c>
      <c r="C11" s="64"/>
      <c r="D11" s="65"/>
    </row>
    <row r="12" spans="2:4" x14ac:dyDescent="0.2">
      <c r="B12" s="66"/>
      <c r="C12" s="64"/>
      <c r="D12" s="65"/>
    </row>
    <row r="13" spans="2:4" x14ac:dyDescent="0.25">
      <c r="B13" s="66" t="s">
        <v>49</v>
      </c>
      <c r="C13" s="64"/>
      <c r="D13" s="65"/>
    </row>
    <row r="14" spans="2:4" x14ac:dyDescent="0.25">
      <c r="B14" s="66" t="s">
        <v>155</v>
      </c>
      <c r="C14" s="64"/>
      <c r="D14" s="65"/>
    </row>
    <row r="15" spans="2:4" x14ac:dyDescent="0.25">
      <c r="B15" s="66" t="s">
        <v>122</v>
      </c>
      <c r="C15" s="64"/>
      <c r="D15" s="65"/>
    </row>
    <row r="16" spans="2:4" x14ac:dyDescent="0.25">
      <c r="B16" s="66" t="s">
        <v>123</v>
      </c>
      <c r="C16" s="64"/>
      <c r="D16" s="65"/>
    </row>
    <row r="17" spans="2:4" x14ac:dyDescent="0.25">
      <c r="B17" s="66" t="s">
        <v>124</v>
      </c>
      <c r="C17" s="64"/>
      <c r="D17" s="65"/>
    </row>
    <row r="18" spans="2:4" x14ac:dyDescent="0.2">
      <c r="B18" s="66" t="s">
        <v>136</v>
      </c>
      <c r="C18" s="64"/>
      <c r="D18" s="65"/>
    </row>
    <row r="19" spans="2:4" x14ac:dyDescent="0.25">
      <c r="B19" s="66" t="s">
        <v>125</v>
      </c>
      <c r="C19" s="64"/>
      <c r="D19" s="65"/>
    </row>
    <row r="20" spans="2:4" x14ac:dyDescent="0.25">
      <c r="B20" s="66" t="s">
        <v>146</v>
      </c>
      <c r="C20" s="64"/>
      <c r="D20" s="65"/>
    </row>
    <row r="21" spans="2:4" x14ac:dyDescent="0.25">
      <c r="B21" s="66" t="s">
        <v>126</v>
      </c>
      <c r="C21" s="64"/>
      <c r="D21" s="65"/>
    </row>
    <row r="22" spans="2:4" x14ac:dyDescent="0.25">
      <c r="B22" s="66" t="s">
        <v>127</v>
      </c>
      <c r="C22" s="64"/>
      <c r="D22" s="65"/>
    </row>
    <row r="23" spans="2:4" x14ac:dyDescent="0.2">
      <c r="B23" s="66" t="s">
        <v>129</v>
      </c>
      <c r="C23" s="64"/>
      <c r="D23" s="65"/>
    </row>
    <row r="24" spans="2:4" x14ac:dyDescent="0.25">
      <c r="B24" s="66" t="s">
        <v>137</v>
      </c>
      <c r="C24" s="64"/>
      <c r="D24" s="65"/>
    </row>
    <row r="25" spans="2:4" x14ac:dyDescent="0.25">
      <c r="B25" s="66" t="s">
        <v>181</v>
      </c>
      <c r="C25" s="64"/>
      <c r="D25" s="65"/>
    </row>
    <row r="26" spans="2:4" x14ac:dyDescent="0.25">
      <c r="B26" s="66" t="s">
        <v>180</v>
      </c>
      <c r="C26" s="64"/>
      <c r="D26" s="65"/>
    </row>
    <row r="27" spans="2:4" x14ac:dyDescent="0.25">
      <c r="B27" s="66" t="s">
        <v>179</v>
      </c>
      <c r="C27" s="64"/>
      <c r="D27" s="65"/>
    </row>
    <row r="28" spans="2:4" x14ac:dyDescent="0.25">
      <c r="B28" s="66"/>
      <c r="C28" s="64"/>
      <c r="D28" s="65"/>
    </row>
    <row r="29" spans="2:4" x14ac:dyDescent="0.25">
      <c r="B29" s="66" t="s">
        <v>59</v>
      </c>
      <c r="C29" s="64"/>
      <c r="D29" s="65"/>
    </row>
    <row r="30" spans="2:4" x14ac:dyDescent="0.2">
      <c r="B30" s="66"/>
      <c r="C30" s="64"/>
      <c r="D30" s="65"/>
    </row>
    <row r="31" spans="2:4" x14ac:dyDescent="0.25">
      <c r="B31" s="66" t="s">
        <v>92</v>
      </c>
      <c r="C31" s="64"/>
      <c r="D31" s="65"/>
    </row>
    <row r="32" spans="2:4" x14ac:dyDescent="0.2">
      <c r="B32" s="71" t="s">
        <v>50</v>
      </c>
      <c r="C32" s="64"/>
      <c r="D32" s="65"/>
    </row>
    <row r="33" spans="2:4" x14ac:dyDescent="0.25">
      <c r="B33" s="66"/>
      <c r="C33" s="64"/>
      <c r="D33" s="65"/>
    </row>
    <row r="34" spans="2:4" x14ac:dyDescent="0.25">
      <c r="B34" s="67" t="s">
        <v>51</v>
      </c>
      <c r="C34" s="64"/>
      <c r="D34" s="65"/>
    </row>
    <row r="35" spans="2:4" x14ac:dyDescent="0.25">
      <c r="B35" s="63" t="s">
        <v>54</v>
      </c>
      <c r="C35" s="64"/>
      <c r="D35" s="65"/>
    </row>
    <row r="36" spans="2:4" x14ac:dyDescent="0.25">
      <c r="B36" s="66"/>
      <c r="C36" s="64"/>
      <c r="D36" s="65"/>
    </row>
    <row r="37" spans="2:4" x14ac:dyDescent="0.25">
      <c r="B37" s="66" t="s">
        <v>52</v>
      </c>
      <c r="C37" s="64"/>
      <c r="D37" s="65"/>
    </row>
    <row r="38" spans="2:4" x14ac:dyDescent="0.25">
      <c r="B38" s="66" t="s">
        <v>154</v>
      </c>
      <c r="C38" s="64"/>
      <c r="D38" s="65"/>
    </row>
    <row r="39" spans="2:4" x14ac:dyDescent="0.25">
      <c r="B39" s="66"/>
      <c r="C39" s="64"/>
      <c r="D39" s="65"/>
    </row>
    <row r="40" spans="2:4" x14ac:dyDescent="0.25">
      <c r="B40" s="66" t="s">
        <v>91</v>
      </c>
      <c r="C40" s="64"/>
      <c r="D40" s="65"/>
    </row>
    <row r="41" spans="2:4" x14ac:dyDescent="0.25">
      <c r="B41" s="66" t="s">
        <v>90</v>
      </c>
      <c r="C41" s="64"/>
      <c r="D41" s="65"/>
    </row>
    <row r="42" spans="2:4" ht="15.6" thickBot="1" x14ac:dyDescent="0.3">
      <c r="B42" s="68"/>
      <c r="C42" s="69"/>
      <c r="D42" s="70"/>
    </row>
  </sheetData>
  <hyperlinks>
    <hyperlink ref="B32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16"/>
  <sheetViews>
    <sheetView zoomScaleNormal="100" workbookViewId="0"/>
  </sheetViews>
  <sheetFormatPr defaultColWidth="5.109375" defaultRowHeight="15" x14ac:dyDescent="0.25"/>
  <cols>
    <col min="1" max="1" width="5.109375" style="1"/>
    <col min="2" max="2" width="5.109375" style="45"/>
    <col min="3" max="8" width="5.109375" style="1"/>
    <col min="9" max="9" width="5.109375" style="1" customWidth="1"/>
    <col min="10" max="11" width="5.109375" style="1"/>
    <col min="12" max="12" width="6.109375" style="1" customWidth="1"/>
    <col min="13" max="17" width="5.109375" style="1"/>
    <col min="18" max="18" width="7.88671875" style="1" bestFit="1" customWidth="1"/>
    <col min="19" max="19" width="10.5546875" style="1" bestFit="1" customWidth="1"/>
    <col min="20" max="20" width="5.88671875" style="1" customWidth="1"/>
    <col min="21" max="28" width="5.109375" style="1"/>
    <col min="29" max="29" width="5.33203125" style="1" customWidth="1"/>
    <col min="30" max="16384" width="5.109375" style="1"/>
  </cols>
  <sheetData>
    <row r="1" spans="1:16" ht="15.75" thickBot="1" x14ac:dyDescent="0.25"/>
    <row r="2" spans="1:16" x14ac:dyDescent="0.2">
      <c r="B2" s="107"/>
      <c r="C2" s="19"/>
      <c r="D2" s="19"/>
      <c r="E2" s="19"/>
      <c r="F2" s="19"/>
      <c r="G2" s="19"/>
      <c r="H2" s="19"/>
      <c r="I2" s="19"/>
      <c r="J2" s="20"/>
      <c r="L2" s="119" t="s">
        <v>2</v>
      </c>
      <c r="M2" s="119" t="s">
        <v>85</v>
      </c>
      <c r="N2" s="120" t="s">
        <v>86</v>
      </c>
    </row>
    <row r="3" spans="1:16" x14ac:dyDescent="0.25">
      <c r="B3" s="247" t="s">
        <v>80</v>
      </c>
      <c r="C3" s="245">
        <v>1</v>
      </c>
      <c r="D3" s="89"/>
      <c r="E3" s="97"/>
      <c r="F3" s="98"/>
      <c r="G3" s="99"/>
      <c r="H3" s="14"/>
      <c r="I3" s="14"/>
      <c r="J3" s="22"/>
      <c r="L3" s="119"/>
      <c r="M3" s="119"/>
      <c r="N3" s="117"/>
    </row>
    <row r="4" spans="1:16" x14ac:dyDescent="0.25">
      <c r="B4" s="247"/>
      <c r="C4" s="245"/>
      <c r="D4" s="2"/>
      <c r="E4" s="100"/>
      <c r="F4" s="101" t="s">
        <v>76</v>
      </c>
      <c r="G4" s="102"/>
      <c r="H4" s="14"/>
      <c r="I4" s="14"/>
      <c r="J4" s="22"/>
      <c r="L4" s="119"/>
      <c r="M4" s="119"/>
      <c r="N4" s="117"/>
    </row>
    <row r="5" spans="1:16" x14ac:dyDescent="0.25">
      <c r="B5" s="108"/>
      <c r="C5" s="80"/>
      <c r="D5" s="14"/>
      <c r="E5" s="100"/>
      <c r="F5" s="84"/>
      <c r="G5" s="102"/>
      <c r="H5" s="17"/>
      <c r="I5" s="246">
        <f>'Pomocné výpočty'!C33</f>
        <v>1</v>
      </c>
      <c r="J5" s="244" t="s">
        <v>84</v>
      </c>
      <c r="L5" s="119"/>
      <c r="M5" s="119"/>
      <c r="N5" s="117"/>
    </row>
    <row r="6" spans="1:16" x14ac:dyDescent="0.25">
      <c r="B6" s="108"/>
      <c r="C6" s="14"/>
      <c r="D6" s="14"/>
      <c r="E6" s="100"/>
      <c r="F6" s="84"/>
      <c r="G6" s="102"/>
      <c r="H6" s="14"/>
      <c r="I6" s="246"/>
      <c r="J6" s="244"/>
      <c r="L6" s="119"/>
      <c r="M6" s="119"/>
      <c r="N6" s="117"/>
    </row>
    <row r="7" spans="1:16" x14ac:dyDescent="0.25">
      <c r="B7" s="247" t="s">
        <v>79</v>
      </c>
      <c r="C7" s="245">
        <v>1</v>
      </c>
      <c r="D7" s="11"/>
      <c r="E7" s="100"/>
      <c r="F7" s="84"/>
      <c r="G7" s="102"/>
      <c r="H7" s="14"/>
      <c r="I7" s="14"/>
      <c r="J7" s="110"/>
    </row>
    <row r="8" spans="1:16" x14ac:dyDescent="0.25">
      <c r="B8" s="247"/>
      <c r="C8" s="245"/>
      <c r="D8" s="14"/>
      <c r="E8" s="103"/>
      <c r="F8" s="104"/>
      <c r="G8" s="105"/>
      <c r="H8" s="14"/>
      <c r="I8" s="14"/>
      <c r="J8" s="110"/>
    </row>
    <row r="9" spans="1:16" ht="15.75" thickBot="1" x14ac:dyDescent="0.25">
      <c r="B9" s="109"/>
      <c r="C9" s="83"/>
      <c r="D9" s="25"/>
      <c r="E9" s="25"/>
      <c r="F9" s="25"/>
      <c r="G9" s="25"/>
      <c r="H9" s="25"/>
      <c r="I9" s="25"/>
      <c r="J9" s="111"/>
    </row>
    <row r="10" spans="1:16" x14ac:dyDescent="0.2">
      <c r="A10" s="6"/>
      <c r="B10" s="88"/>
      <c r="C10" s="7"/>
      <c r="D10" s="7"/>
      <c r="E10" s="7"/>
      <c r="F10" s="7"/>
      <c r="G10" s="7"/>
      <c r="H10" s="7"/>
      <c r="I10" s="7"/>
      <c r="J10" s="112"/>
      <c r="K10" s="6"/>
      <c r="L10" s="6"/>
      <c r="M10" s="6"/>
      <c r="N10" s="6"/>
      <c r="O10" s="6"/>
      <c r="P10" s="6"/>
    </row>
    <row r="11" spans="1:16" ht="15.75" thickBot="1" x14ac:dyDescent="0.25">
      <c r="A11" s="6"/>
      <c r="B11" s="87"/>
      <c r="C11" s="6"/>
      <c r="D11" s="6"/>
      <c r="E11" s="6"/>
      <c r="F11" s="6"/>
      <c r="G11" s="6"/>
      <c r="H11" s="6"/>
      <c r="I11" s="6"/>
      <c r="J11" s="113"/>
      <c r="K11" s="6"/>
      <c r="L11" s="6"/>
      <c r="M11" s="6"/>
      <c r="N11" s="6"/>
      <c r="O11" s="6"/>
      <c r="P11" s="6"/>
    </row>
    <row r="12" spans="1:16" x14ac:dyDescent="0.2">
      <c r="B12" s="107"/>
      <c r="C12" s="19"/>
      <c r="D12" s="19"/>
      <c r="E12" s="19"/>
      <c r="F12" s="19"/>
      <c r="G12" s="19"/>
      <c r="H12" s="19"/>
      <c r="I12" s="19"/>
      <c r="J12" s="114"/>
      <c r="L12" s="119" t="s">
        <v>2</v>
      </c>
      <c r="M12" s="119" t="s">
        <v>85</v>
      </c>
      <c r="N12" s="119" t="s">
        <v>87</v>
      </c>
      <c r="O12" s="120" t="s">
        <v>86</v>
      </c>
    </row>
    <row r="13" spans="1:16" x14ac:dyDescent="0.25">
      <c r="B13" s="247" t="s">
        <v>80</v>
      </c>
      <c r="C13" s="245">
        <v>1</v>
      </c>
      <c r="D13" s="89"/>
      <c r="E13" s="97"/>
      <c r="F13" s="98"/>
      <c r="G13" s="99"/>
      <c r="H13" s="14"/>
      <c r="I13" s="14"/>
      <c r="J13" s="110"/>
      <c r="L13" s="119"/>
      <c r="M13" s="119"/>
      <c r="N13" s="119"/>
      <c r="O13" s="117"/>
    </row>
    <row r="14" spans="1:16" x14ac:dyDescent="0.25">
      <c r="B14" s="247"/>
      <c r="C14" s="245"/>
      <c r="D14" s="2"/>
      <c r="E14" s="100"/>
      <c r="F14" s="101" t="s">
        <v>76</v>
      </c>
      <c r="G14" s="102"/>
      <c r="H14" s="14"/>
      <c r="I14" s="14"/>
      <c r="J14" s="110"/>
      <c r="L14" s="119"/>
      <c r="M14" s="119"/>
      <c r="N14" s="119"/>
      <c r="O14" s="117"/>
    </row>
    <row r="15" spans="1:16" x14ac:dyDescent="0.2">
      <c r="B15" s="108"/>
      <c r="C15" s="80"/>
      <c r="D15" s="14"/>
      <c r="E15" s="100"/>
      <c r="F15" s="84"/>
      <c r="G15" s="102"/>
      <c r="H15" s="14"/>
      <c r="I15" s="90"/>
      <c r="J15" s="110"/>
      <c r="L15" s="119"/>
      <c r="M15" s="119"/>
      <c r="N15" s="119"/>
      <c r="O15" s="117"/>
    </row>
    <row r="16" spans="1:16" x14ac:dyDescent="0.25">
      <c r="B16" s="247" t="s">
        <v>79</v>
      </c>
      <c r="C16" s="245">
        <v>1</v>
      </c>
      <c r="D16" s="12"/>
      <c r="E16" s="100"/>
      <c r="F16" s="84"/>
      <c r="G16" s="102"/>
      <c r="H16" s="17"/>
      <c r="I16" s="246">
        <f>'Pomocné výpočty'!C34</f>
        <v>1</v>
      </c>
      <c r="J16" s="244" t="s">
        <v>84</v>
      </c>
      <c r="L16" s="119"/>
      <c r="M16" s="119"/>
      <c r="N16" s="119"/>
      <c r="O16" s="117"/>
    </row>
    <row r="17" spans="2:27" x14ac:dyDescent="0.25">
      <c r="B17" s="247"/>
      <c r="C17" s="245"/>
      <c r="D17" s="14"/>
      <c r="E17" s="100"/>
      <c r="F17" s="84"/>
      <c r="G17" s="102"/>
      <c r="H17" s="14"/>
      <c r="I17" s="246"/>
      <c r="J17" s="244"/>
      <c r="L17" s="119"/>
      <c r="M17" s="119"/>
      <c r="N17" s="119"/>
      <c r="O17" s="117"/>
    </row>
    <row r="18" spans="2:27" x14ac:dyDescent="0.2">
      <c r="B18" s="108"/>
      <c r="C18" s="14"/>
      <c r="D18" s="14"/>
      <c r="E18" s="100"/>
      <c r="F18" s="84"/>
      <c r="G18" s="102"/>
      <c r="H18" s="14"/>
      <c r="I18" s="90"/>
      <c r="J18" s="110"/>
      <c r="L18" s="119"/>
      <c r="M18" s="119"/>
      <c r="N18" s="119"/>
      <c r="O18" s="117"/>
    </row>
    <row r="19" spans="2:27" x14ac:dyDescent="0.25">
      <c r="B19" s="247" t="s">
        <v>78</v>
      </c>
      <c r="C19" s="245">
        <v>1</v>
      </c>
      <c r="D19" s="11"/>
      <c r="E19" s="100"/>
      <c r="F19" s="84"/>
      <c r="G19" s="102"/>
      <c r="H19" s="14"/>
      <c r="I19" s="14"/>
      <c r="J19" s="110"/>
      <c r="L19" s="119"/>
      <c r="M19" s="119"/>
      <c r="N19" s="119"/>
      <c r="O19" s="117"/>
    </row>
    <row r="20" spans="2:27" x14ac:dyDescent="0.25">
      <c r="B20" s="247"/>
      <c r="C20" s="245"/>
      <c r="D20" s="14"/>
      <c r="E20" s="103"/>
      <c r="F20" s="104"/>
      <c r="G20" s="105"/>
      <c r="H20" s="14"/>
      <c r="I20" s="14"/>
      <c r="J20" s="110"/>
      <c r="L20" s="119"/>
      <c r="M20" s="119"/>
      <c r="N20" s="119"/>
      <c r="O20" s="117"/>
    </row>
    <row r="21" spans="2:27" ht="15.75" thickBot="1" x14ac:dyDescent="0.25">
      <c r="B21" s="109"/>
      <c r="C21" s="83"/>
      <c r="D21" s="25"/>
      <c r="E21" s="25"/>
      <c r="F21" s="25"/>
      <c r="G21" s="25"/>
      <c r="H21" s="25"/>
      <c r="I21" s="25"/>
      <c r="J21" s="111"/>
    </row>
    <row r="22" spans="2:27" x14ac:dyDescent="0.2">
      <c r="J22" s="115"/>
    </row>
    <row r="23" spans="2:27" ht="16.5" customHeight="1" thickBot="1" x14ac:dyDescent="0.3">
      <c r="B23" s="122" t="s">
        <v>96</v>
      </c>
      <c r="C23" s="122"/>
      <c r="D23" s="122"/>
      <c r="E23" s="122"/>
      <c r="F23" s="122"/>
      <c r="G23" s="122"/>
      <c r="H23" s="122"/>
      <c r="I23" s="122"/>
      <c r="J23" s="122"/>
      <c r="K23" s="122"/>
    </row>
    <row r="24" spans="2:27" x14ac:dyDescent="0.2">
      <c r="B24" s="107"/>
      <c r="C24" s="19"/>
      <c r="D24" s="19"/>
      <c r="E24" s="19"/>
      <c r="F24" s="19"/>
      <c r="G24" s="19"/>
      <c r="H24" s="19"/>
      <c r="I24" s="19"/>
      <c r="J24" s="114"/>
      <c r="N24" s="18"/>
      <c r="O24" s="19"/>
      <c r="P24" s="19"/>
      <c r="Q24" s="19"/>
      <c r="R24" s="19"/>
      <c r="S24" s="19"/>
      <c r="T24" s="19"/>
      <c r="U24" s="19"/>
      <c r="V24" s="20"/>
      <c r="X24" s="119" t="s">
        <v>2</v>
      </c>
      <c r="Y24" s="119" t="s">
        <v>85</v>
      </c>
      <c r="Z24" s="119" t="s">
        <v>87</v>
      </c>
      <c r="AA24" s="120" t="s">
        <v>86</v>
      </c>
    </row>
    <row r="25" spans="2:27" x14ac:dyDescent="0.25">
      <c r="B25" s="247" t="s">
        <v>80</v>
      </c>
      <c r="C25" s="245">
        <v>1</v>
      </c>
      <c r="D25" s="89"/>
      <c r="E25" s="97"/>
      <c r="F25" s="98"/>
      <c r="G25" s="99"/>
      <c r="H25" s="14"/>
      <c r="I25" s="14"/>
      <c r="J25" s="110"/>
      <c r="N25" s="249" t="s">
        <v>80</v>
      </c>
      <c r="O25" s="245">
        <v>1</v>
      </c>
      <c r="P25" s="89"/>
      <c r="Q25" s="97"/>
      <c r="R25" s="98"/>
      <c r="S25" s="99"/>
      <c r="T25" s="14"/>
      <c r="U25" s="14"/>
      <c r="V25" s="22"/>
      <c r="X25" s="119"/>
      <c r="Y25" s="119"/>
      <c r="Z25" s="119"/>
      <c r="AA25" s="117"/>
    </row>
    <row r="26" spans="2:27" x14ac:dyDescent="0.25">
      <c r="B26" s="247"/>
      <c r="C26" s="245"/>
      <c r="D26" s="2"/>
      <c r="E26" s="100"/>
      <c r="F26" s="101">
        <v>1</v>
      </c>
      <c r="G26" s="102"/>
      <c r="H26" s="14"/>
      <c r="I26" s="14"/>
      <c r="J26" s="110"/>
      <c r="N26" s="249"/>
      <c r="O26" s="245"/>
      <c r="P26" s="2"/>
      <c r="Q26" s="100"/>
      <c r="R26" s="106" t="s">
        <v>77</v>
      </c>
      <c r="S26" s="102"/>
      <c r="T26" s="14"/>
      <c r="U26" s="14"/>
      <c r="V26" s="22"/>
      <c r="X26" s="119"/>
      <c r="Y26" s="119"/>
      <c r="Z26" s="119"/>
      <c r="AA26" s="117"/>
    </row>
    <row r="27" spans="2:27" x14ac:dyDescent="0.2">
      <c r="B27" s="108"/>
      <c r="C27" s="80"/>
      <c r="D27" s="14"/>
      <c r="E27" s="100"/>
      <c r="F27" s="84"/>
      <c r="G27" s="102"/>
      <c r="H27" s="14"/>
      <c r="I27" s="90"/>
      <c r="J27" s="110"/>
      <c r="N27" s="116"/>
      <c r="O27" s="80"/>
      <c r="P27" s="14"/>
      <c r="Q27" s="100"/>
      <c r="R27" s="84"/>
      <c r="S27" s="102"/>
      <c r="T27" s="14"/>
      <c r="U27" s="90"/>
      <c r="V27" s="22"/>
      <c r="X27" s="119"/>
      <c r="Y27" s="119"/>
      <c r="Z27" s="119"/>
      <c r="AA27" s="117"/>
    </row>
    <row r="28" spans="2:27" x14ac:dyDescent="0.25">
      <c r="B28" s="247" t="s">
        <v>79</v>
      </c>
      <c r="C28" s="245">
        <v>0</v>
      </c>
      <c r="D28" s="12"/>
      <c r="E28" s="100"/>
      <c r="F28" s="84"/>
      <c r="G28" s="102"/>
      <c r="H28" s="17"/>
      <c r="I28" s="246">
        <f>'Pomocné výpočty'!C35</f>
        <v>1</v>
      </c>
      <c r="J28" s="244" t="s">
        <v>84</v>
      </c>
      <c r="L28" s="248" t="s">
        <v>64</v>
      </c>
      <c r="N28" s="249" t="s">
        <v>79</v>
      </c>
      <c r="O28" s="245">
        <v>1</v>
      </c>
      <c r="P28" s="12"/>
      <c r="Q28" s="100"/>
      <c r="R28" s="84"/>
      <c r="S28" s="102"/>
      <c r="T28" s="17"/>
      <c r="U28" s="246">
        <f>'Pomocné výpočty'!C38</f>
        <v>1</v>
      </c>
      <c r="V28" s="244" t="s">
        <v>84</v>
      </c>
      <c r="X28" s="119"/>
      <c r="Y28" s="119"/>
      <c r="Z28" s="119"/>
      <c r="AA28" s="117"/>
    </row>
    <row r="29" spans="2:27" x14ac:dyDescent="0.25">
      <c r="B29" s="247"/>
      <c r="C29" s="245"/>
      <c r="D29" s="14"/>
      <c r="E29" s="100"/>
      <c r="F29" s="84"/>
      <c r="G29" s="102"/>
      <c r="H29" s="14"/>
      <c r="I29" s="246"/>
      <c r="J29" s="244"/>
      <c r="L29" s="248"/>
      <c r="N29" s="249"/>
      <c r="O29" s="245"/>
      <c r="P29" s="14"/>
      <c r="Q29" s="100"/>
      <c r="R29" s="84"/>
      <c r="S29" s="102"/>
      <c r="T29" s="14"/>
      <c r="U29" s="246"/>
      <c r="V29" s="244"/>
      <c r="X29" s="119"/>
      <c r="Y29" s="119"/>
      <c r="Z29" s="119"/>
      <c r="AA29" s="117"/>
    </row>
    <row r="30" spans="2:27" x14ac:dyDescent="0.2">
      <c r="B30" s="108"/>
      <c r="C30" s="14"/>
      <c r="D30" s="14"/>
      <c r="E30" s="100"/>
      <c r="F30" s="84"/>
      <c r="G30" s="102"/>
      <c r="H30" s="14"/>
      <c r="I30" s="90"/>
      <c r="J30" s="22"/>
      <c r="N30" s="116"/>
      <c r="O30" s="14"/>
      <c r="P30" s="14"/>
      <c r="Q30" s="100"/>
      <c r="R30" s="84"/>
      <c r="S30" s="102"/>
      <c r="T30" s="14"/>
      <c r="U30" s="90"/>
      <c r="V30" s="22"/>
      <c r="X30" s="119"/>
      <c r="Y30" s="119"/>
      <c r="Z30" s="119"/>
      <c r="AA30" s="117"/>
    </row>
    <row r="31" spans="2:27" x14ac:dyDescent="0.25">
      <c r="B31" s="247" t="s">
        <v>78</v>
      </c>
      <c r="C31" s="245">
        <v>0</v>
      </c>
      <c r="D31" s="11"/>
      <c r="E31" s="100"/>
      <c r="F31" s="84"/>
      <c r="G31" s="102"/>
      <c r="H31" s="14"/>
      <c r="I31" s="14"/>
      <c r="J31" s="22"/>
      <c r="N31" s="249" t="s">
        <v>78</v>
      </c>
      <c r="O31" s="245">
        <v>0</v>
      </c>
      <c r="P31" s="11"/>
      <c r="Q31" s="100"/>
      <c r="R31" s="84"/>
      <c r="S31" s="102"/>
      <c r="T31" s="14"/>
      <c r="U31" s="14"/>
      <c r="V31" s="22"/>
      <c r="X31" s="119"/>
      <c r="Y31" s="119"/>
      <c r="Z31" s="119"/>
      <c r="AA31" s="117"/>
    </row>
    <row r="32" spans="2:27" x14ac:dyDescent="0.25">
      <c r="B32" s="247"/>
      <c r="C32" s="245"/>
      <c r="D32" s="14"/>
      <c r="E32" s="103"/>
      <c r="F32" s="104"/>
      <c r="G32" s="105"/>
      <c r="H32" s="14"/>
      <c r="I32" s="14"/>
      <c r="J32" s="22"/>
      <c r="N32" s="249"/>
      <c r="O32" s="245"/>
      <c r="P32" s="14"/>
      <c r="Q32" s="103"/>
      <c r="R32" s="104"/>
      <c r="S32" s="105"/>
      <c r="T32" s="14"/>
      <c r="U32" s="14"/>
      <c r="V32" s="22"/>
      <c r="X32" s="119"/>
      <c r="Y32" s="119"/>
      <c r="Z32" s="119"/>
      <c r="AA32" s="117"/>
    </row>
    <row r="33" spans="1:28" ht="15.6" thickBot="1" x14ac:dyDescent="0.3">
      <c r="B33" s="109"/>
      <c r="C33" s="83"/>
      <c r="D33" s="25"/>
      <c r="E33" s="25"/>
      <c r="F33" s="25"/>
      <c r="G33" s="25"/>
      <c r="H33" s="25"/>
      <c r="I33" s="25"/>
      <c r="J33" s="26"/>
      <c r="N33" s="24"/>
      <c r="O33" s="83"/>
      <c r="P33" s="25"/>
      <c r="Q33" s="25"/>
      <c r="R33" s="25"/>
      <c r="S33" s="25"/>
      <c r="T33" s="25"/>
      <c r="U33" s="25"/>
      <c r="V33" s="26"/>
    </row>
    <row r="34" spans="1:28" x14ac:dyDescent="0.25">
      <c r="A34" s="6"/>
      <c r="B34" s="88"/>
      <c r="C34" s="7"/>
      <c r="D34" s="7"/>
      <c r="E34" s="7"/>
      <c r="F34" s="7"/>
      <c r="G34" s="7"/>
      <c r="H34" s="7"/>
      <c r="I34" s="7"/>
      <c r="J34" s="7"/>
      <c r="K34" s="6"/>
      <c r="L34" s="6"/>
      <c r="M34" s="6"/>
      <c r="N34" s="6"/>
      <c r="O34" s="6"/>
    </row>
    <row r="35" spans="1:28" ht="15.6" thickBot="1" x14ac:dyDescent="0.3">
      <c r="A35" s="6"/>
      <c r="B35" s="87"/>
      <c r="C35" s="6"/>
      <c r="D35" s="6"/>
      <c r="E35" s="6"/>
      <c r="F35" s="6"/>
      <c r="G35" s="6"/>
      <c r="H35" s="6"/>
      <c r="I35" s="6"/>
      <c r="J35" s="6"/>
      <c r="K35" s="6"/>
      <c r="L35" s="6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</row>
    <row r="36" spans="1:28" x14ac:dyDescent="0.25">
      <c r="B36" s="107"/>
      <c r="C36" s="19"/>
      <c r="D36" s="19"/>
      <c r="E36" s="19"/>
      <c r="F36" s="19"/>
      <c r="G36" s="19"/>
      <c r="H36" s="19"/>
      <c r="I36" s="81"/>
      <c r="J36" s="19"/>
      <c r="K36" s="20"/>
      <c r="M36" s="119" t="s">
        <v>2</v>
      </c>
      <c r="N36" s="120" t="s">
        <v>86</v>
      </c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</row>
    <row r="37" spans="1:28" x14ac:dyDescent="0.25">
      <c r="B37" s="108"/>
      <c r="C37" s="90"/>
      <c r="D37" s="14"/>
      <c r="E37" s="97"/>
      <c r="F37" s="98"/>
      <c r="G37" s="99"/>
      <c r="H37" s="14"/>
      <c r="I37" s="14"/>
      <c r="J37" s="14"/>
      <c r="K37" s="22"/>
      <c r="M37" s="119"/>
      <c r="N37" s="11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</row>
    <row r="38" spans="1:28" ht="15" customHeight="1" x14ac:dyDescent="0.25">
      <c r="B38" s="108"/>
      <c r="C38" s="90"/>
      <c r="D38" s="14"/>
      <c r="E38" s="100"/>
      <c r="F38" s="101">
        <v>1</v>
      </c>
      <c r="G38" s="102"/>
      <c r="H38" s="14"/>
      <c r="I38" s="14"/>
      <c r="J38" s="14"/>
      <c r="K38" s="22"/>
      <c r="M38" s="119"/>
      <c r="N38" s="117"/>
      <c r="Q38" s="7"/>
      <c r="R38" s="7"/>
      <c r="S38" s="93"/>
      <c r="T38" s="7"/>
      <c r="U38" s="7"/>
      <c r="V38" s="7"/>
      <c r="W38" s="7"/>
      <c r="X38" s="7"/>
      <c r="Y38" s="7"/>
      <c r="Z38" s="7"/>
      <c r="AA38" s="7"/>
      <c r="AB38" s="7"/>
    </row>
    <row r="39" spans="1:28" ht="15" customHeight="1" x14ac:dyDescent="0.25">
      <c r="B39" s="247" t="s">
        <v>80</v>
      </c>
      <c r="C39" s="245">
        <v>1</v>
      </c>
      <c r="D39" s="12"/>
      <c r="E39" s="100"/>
      <c r="F39" s="84"/>
      <c r="G39" s="102"/>
      <c r="H39" s="14"/>
      <c r="I39" s="11"/>
      <c r="J39" s="246">
        <f>'Pomocné výpočty'!E36</f>
        <v>0</v>
      </c>
      <c r="K39" s="244" t="s">
        <v>84</v>
      </c>
      <c r="M39" s="95"/>
      <c r="N39" s="7"/>
      <c r="O39" s="7"/>
      <c r="P39" s="91"/>
      <c r="Q39" s="7"/>
      <c r="R39" s="7"/>
      <c r="S39" s="7"/>
      <c r="T39" s="7"/>
      <c r="U39" s="7"/>
      <c r="V39" s="94"/>
      <c r="W39" s="7"/>
      <c r="X39" s="7"/>
      <c r="Y39" s="7"/>
      <c r="Z39" s="7"/>
      <c r="AA39" s="7"/>
      <c r="AB39" s="7"/>
    </row>
    <row r="40" spans="1:28" ht="15" customHeight="1" x14ac:dyDescent="0.25">
      <c r="B40" s="247"/>
      <c r="C40" s="245"/>
      <c r="D40" s="14"/>
      <c r="E40" s="100"/>
      <c r="F40" s="84"/>
      <c r="G40" s="102"/>
      <c r="H40" s="14"/>
      <c r="I40" s="14"/>
      <c r="J40" s="246"/>
      <c r="K40" s="244"/>
      <c r="M40" s="95"/>
      <c r="N40" s="7"/>
      <c r="O40" s="7"/>
      <c r="P40" s="91"/>
      <c r="Q40" s="7"/>
      <c r="R40" s="7"/>
      <c r="S40" s="7"/>
      <c r="T40" s="7"/>
      <c r="U40" s="7"/>
      <c r="V40" s="94"/>
      <c r="W40" s="7"/>
      <c r="X40" s="7"/>
      <c r="Y40" s="7"/>
      <c r="Z40" s="7"/>
      <c r="AA40" s="7"/>
      <c r="AB40" s="7"/>
    </row>
    <row r="41" spans="1:28" x14ac:dyDescent="0.25">
      <c r="B41" s="108"/>
      <c r="C41" s="90"/>
      <c r="D41" s="14"/>
      <c r="E41" s="100"/>
      <c r="F41" s="84"/>
      <c r="G41" s="102"/>
      <c r="H41" s="14"/>
      <c r="I41" s="14"/>
      <c r="J41" s="14"/>
      <c r="K41" s="22"/>
      <c r="M41" s="7"/>
      <c r="N41" s="7"/>
      <c r="O41" s="7"/>
      <c r="P41" s="91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 x14ac:dyDescent="0.25">
      <c r="B42" s="108"/>
      <c r="C42" s="90"/>
      <c r="D42" s="14"/>
      <c r="E42" s="103"/>
      <c r="F42" s="104"/>
      <c r="G42" s="105"/>
      <c r="H42" s="14"/>
      <c r="I42" s="14"/>
      <c r="J42" s="14"/>
      <c r="K42" s="22"/>
      <c r="M42" s="7"/>
      <c r="N42" s="7"/>
      <c r="O42" s="7"/>
      <c r="P42" s="91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</row>
    <row r="43" spans="1:28" ht="15.6" thickBot="1" x14ac:dyDescent="0.3">
      <c r="B43" s="109"/>
      <c r="C43" s="83"/>
      <c r="D43" s="25"/>
      <c r="E43" s="25"/>
      <c r="F43" s="25"/>
      <c r="G43" s="25"/>
      <c r="H43" s="25"/>
      <c r="I43" s="83"/>
      <c r="J43" s="25"/>
      <c r="K43" s="26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</row>
    <row r="44" spans="1:28" x14ac:dyDescent="0.25"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</row>
    <row r="45" spans="1:28" ht="15.6" thickBot="1" x14ac:dyDescent="0.3"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</row>
    <row r="46" spans="1:28" x14ac:dyDescent="0.25">
      <c r="B46" s="107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20"/>
      <c r="T46" s="119" t="s">
        <v>2</v>
      </c>
      <c r="U46" s="119" t="s">
        <v>85</v>
      </c>
      <c r="V46" s="119" t="s">
        <v>87</v>
      </c>
      <c r="W46" s="120" t="s">
        <v>86</v>
      </c>
      <c r="X46" s="120" t="s">
        <v>88</v>
      </c>
      <c r="Y46" s="120" t="s">
        <v>89</v>
      </c>
    </row>
    <row r="47" spans="1:28" x14ac:dyDescent="0.25">
      <c r="B47" s="108"/>
      <c r="C47" s="14"/>
      <c r="D47" s="14"/>
      <c r="E47" s="97"/>
      <c r="F47" s="98"/>
      <c r="G47" s="99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22"/>
      <c r="T47" s="119"/>
      <c r="U47" s="119"/>
      <c r="V47" s="119"/>
      <c r="W47" s="117"/>
      <c r="X47" s="118"/>
      <c r="Y47" s="118"/>
    </row>
    <row r="48" spans="1:28" x14ac:dyDescent="0.25">
      <c r="B48" s="108"/>
      <c r="C48" s="14"/>
      <c r="D48" s="14"/>
      <c r="E48" s="100"/>
      <c r="F48" s="101">
        <v>1</v>
      </c>
      <c r="G48" s="102"/>
      <c r="H48" s="14"/>
      <c r="I48" s="133" t="s">
        <v>81</v>
      </c>
      <c r="J48" s="73">
        <f>'Pomocné výpočty'!E40</f>
        <v>1</v>
      </c>
      <c r="K48" s="14"/>
      <c r="L48" s="14"/>
      <c r="M48" s="14"/>
      <c r="N48" s="14"/>
      <c r="O48" s="14"/>
      <c r="P48" s="14"/>
      <c r="Q48" s="14"/>
      <c r="R48" s="22"/>
      <c r="T48" s="119"/>
      <c r="U48" s="119"/>
      <c r="V48" s="119"/>
      <c r="W48" s="117"/>
      <c r="X48" s="118"/>
      <c r="Y48" s="118"/>
    </row>
    <row r="49" spans="2:25" x14ac:dyDescent="0.25">
      <c r="B49" s="247" t="s">
        <v>80</v>
      </c>
      <c r="C49" s="245">
        <v>0</v>
      </c>
      <c r="D49" s="12"/>
      <c r="E49" s="100"/>
      <c r="F49" s="84"/>
      <c r="G49" s="102"/>
      <c r="H49" s="14"/>
      <c r="I49" s="96"/>
      <c r="J49" s="2"/>
      <c r="K49" s="14"/>
      <c r="L49" s="14"/>
      <c r="M49" s="14"/>
      <c r="N49" s="14"/>
      <c r="O49" s="14"/>
      <c r="P49" s="2"/>
      <c r="Q49" s="14"/>
      <c r="R49" s="22"/>
      <c r="T49" s="119"/>
      <c r="U49" s="119"/>
      <c r="V49" s="119"/>
      <c r="W49" s="117"/>
      <c r="X49" s="118"/>
      <c r="Y49" s="118"/>
    </row>
    <row r="50" spans="2:25" x14ac:dyDescent="0.25">
      <c r="B50" s="247"/>
      <c r="C50" s="245"/>
      <c r="D50" s="14"/>
      <c r="E50" s="100"/>
      <c r="F50" s="84"/>
      <c r="G50" s="102"/>
      <c r="H50" s="14"/>
      <c r="I50" s="14"/>
      <c r="J50" s="13"/>
      <c r="K50" s="14"/>
      <c r="L50" s="14"/>
      <c r="M50" s="14"/>
      <c r="N50" s="14"/>
      <c r="O50" s="14"/>
      <c r="P50" s="14"/>
      <c r="Q50" s="14"/>
      <c r="R50" s="22"/>
      <c r="T50" s="119"/>
      <c r="U50" s="119"/>
      <c r="V50" s="119"/>
      <c r="W50" s="117"/>
      <c r="X50" s="118"/>
      <c r="Y50" s="118"/>
    </row>
    <row r="51" spans="2:25" x14ac:dyDescent="0.25">
      <c r="B51" s="108"/>
      <c r="C51" s="14"/>
      <c r="D51" s="14"/>
      <c r="E51" s="100"/>
      <c r="F51" s="84"/>
      <c r="G51" s="102"/>
      <c r="H51" s="14"/>
      <c r="I51" s="14"/>
      <c r="J51" s="13"/>
      <c r="K51" s="14"/>
      <c r="L51" s="97"/>
      <c r="M51" s="98"/>
      <c r="N51" s="99"/>
      <c r="O51" s="14"/>
      <c r="P51" s="14"/>
      <c r="Q51" s="14"/>
      <c r="R51" s="22"/>
      <c r="T51" s="119"/>
      <c r="U51" s="119"/>
      <c r="V51" s="119"/>
      <c r="W51" s="117"/>
      <c r="X51" s="118"/>
      <c r="Y51" s="118"/>
    </row>
    <row r="52" spans="2:25" x14ac:dyDescent="0.25">
      <c r="B52" s="108"/>
      <c r="C52" s="14"/>
      <c r="D52" s="14"/>
      <c r="E52" s="103"/>
      <c r="F52" s="104"/>
      <c r="G52" s="105"/>
      <c r="H52" s="14"/>
      <c r="I52" s="14"/>
      <c r="J52" s="17"/>
      <c r="K52" s="12"/>
      <c r="L52" s="100"/>
      <c r="M52" s="101" t="s">
        <v>76</v>
      </c>
      <c r="N52" s="102"/>
      <c r="O52" s="14"/>
      <c r="P52" s="14"/>
      <c r="Q52" s="14"/>
      <c r="R52" s="22"/>
      <c r="T52" s="119"/>
      <c r="U52" s="119"/>
      <c r="V52" s="119"/>
      <c r="W52" s="117"/>
      <c r="X52" s="118"/>
      <c r="Y52" s="118"/>
    </row>
    <row r="53" spans="2:25" x14ac:dyDescent="0.25">
      <c r="B53" s="108"/>
      <c r="C53" s="14"/>
      <c r="D53" s="14"/>
      <c r="E53" s="14"/>
      <c r="F53" s="14"/>
      <c r="G53" s="14"/>
      <c r="H53" s="14"/>
      <c r="I53" s="14"/>
      <c r="J53" s="14"/>
      <c r="K53" s="14"/>
      <c r="L53" s="100"/>
      <c r="M53" s="84"/>
      <c r="N53" s="102"/>
      <c r="O53" s="14"/>
      <c r="P53" s="14"/>
      <c r="Q53" s="14"/>
      <c r="R53" s="22"/>
      <c r="T53" s="119"/>
      <c r="U53" s="119"/>
      <c r="V53" s="119"/>
      <c r="W53" s="117"/>
      <c r="X53" s="118"/>
      <c r="Y53" s="118"/>
    </row>
    <row r="54" spans="2:25" x14ac:dyDescent="0.25">
      <c r="B54" s="108"/>
      <c r="C54" s="2"/>
      <c r="D54" s="14"/>
      <c r="E54" s="97"/>
      <c r="F54" s="98"/>
      <c r="G54" s="99"/>
      <c r="H54" s="14"/>
      <c r="I54" s="14"/>
      <c r="J54" s="14"/>
      <c r="K54" s="14"/>
      <c r="L54" s="100"/>
      <c r="M54" s="84"/>
      <c r="N54" s="102"/>
      <c r="O54" s="17"/>
      <c r="P54" s="246">
        <f>'Pomocné výpočty'!G40</f>
        <v>1</v>
      </c>
      <c r="Q54" s="250" t="s">
        <v>83</v>
      </c>
      <c r="R54" s="22"/>
      <c r="T54" s="119"/>
      <c r="U54" s="119"/>
      <c r="V54" s="119"/>
      <c r="W54" s="117"/>
      <c r="X54" s="118"/>
      <c r="Y54" s="118"/>
    </row>
    <row r="55" spans="2:25" x14ac:dyDescent="0.25">
      <c r="B55" s="247" t="s">
        <v>79</v>
      </c>
      <c r="C55" s="245">
        <v>1</v>
      </c>
      <c r="D55" s="12"/>
      <c r="E55" s="100"/>
      <c r="F55" s="106" t="s">
        <v>77</v>
      </c>
      <c r="G55" s="102"/>
      <c r="H55" s="14"/>
      <c r="I55" s="14"/>
      <c r="J55" s="14"/>
      <c r="K55" s="14"/>
      <c r="L55" s="100"/>
      <c r="M55" s="84"/>
      <c r="N55" s="102"/>
      <c r="O55" s="14"/>
      <c r="P55" s="246"/>
      <c r="Q55" s="251"/>
      <c r="R55" s="22"/>
    </row>
    <row r="56" spans="2:25" x14ac:dyDescent="0.25">
      <c r="B56" s="247"/>
      <c r="C56" s="245"/>
      <c r="D56" s="14"/>
      <c r="E56" s="100"/>
      <c r="F56" s="84"/>
      <c r="G56" s="102"/>
      <c r="H56" s="14"/>
      <c r="I56" s="14"/>
      <c r="J56" s="11"/>
      <c r="K56" s="12"/>
      <c r="L56" s="100"/>
      <c r="M56" s="84"/>
      <c r="N56" s="102"/>
      <c r="O56" s="14"/>
      <c r="P56" s="2"/>
      <c r="Q56" s="14"/>
      <c r="R56" s="22"/>
    </row>
    <row r="57" spans="2:25" x14ac:dyDescent="0.25">
      <c r="B57" s="108"/>
      <c r="C57" s="14"/>
      <c r="D57" s="14"/>
      <c r="E57" s="100"/>
      <c r="F57" s="84"/>
      <c r="G57" s="102"/>
      <c r="H57" s="17"/>
      <c r="I57" s="11"/>
      <c r="J57" s="8"/>
      <c r="K57" s="14"/>
      <c r="L57" s="100"/>
      <c r="M57" s="84"/>
      <c r="N57" s="102"/>
      <c r="O57" s="14"/>
      <c r="P57" s="14"/>
      <c r="Q57" s="14"/>
      <c r="R57" s="22"/>
    </row>
    <row r="58" spans="2:25" x14ac:dyDescent="0.25">
      <c r="B58" s="108"/>
      <c r="C58" s="14"/>
      <c r="D58" s="14"/>
      <c r="E58" s="100"/>
      <c r="F58" s="84"/>
      <c r="G58" s="102"/>
      <c r="H58" s="14"/>
      <c r="I58" s="14"/>
      <c r="J58" s="2"/>
      <c r="K58" s="14"/>
      <c r="L58" s="103"/>
      <c r="M58" s="104"/>
      <c r="N58" s="105"/>
      <c r="O58" s="14"/>
      <c r="P58" s="14"/>
      <c r="Q58" s="14"/>
      <c r="R58" s="22"/>
    </row>
    <row r="59" spans="2:25" x14ac:dyDescent="0.25">
      <c r="B59" s="247" t="s">
        <v>78</v>
      </c>
      <c r="C59" s="245">
        <v>0</v>
      </c>
      <c r="D59" s="12"/>
      <c r="E59" s="100"/>
      <c r="F59" s="84"/>
      <c r="G59" s="102"/>
      <c r="H59" s="14"/>
      <c r="I59" s="133" t="s">
        <v>82</v>
      </c>
      <c r="J59" s="73">
        <f>'Pomocné výpočty'!E42</f>
        <v>1</v>
      </c>
      <c r="K59" s="14"/>
      <c r="L59" s="14"/>
      <c r="M59" s="14"/>
      <c r="N59" s="14"/>
      <c r="O59" s="14"/>
      <c r="P59" s="14"/>
      <c r="Q59" s="14"/>
      <c r="R59" s="22"/>
    </row>
    <row r="60" spans="2:25" x14ac:dyDescent="0.25">
      <c r="B60" s="247"/>
      <c r="C60" s="245"/>
      <c r="D60" s="14"/>
      <c r="E60" s="100"/>
      <c r="F60" s="84"/>
      <c r="G60" s="102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22"/>
    </row>
    <row r="61" spans="2:25" x14ac:dyDescent="0.25">
      <c r="B61" s="108"/>
      <c r="C61" s="14"/>
      <c r="D61" s="14"/>
      <c r="E61" s="103"/>
      <c r="F61" s="104"/>
      <c r="G61" s="105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22"/>
    </row>
    <row r="62" spans="2:25" ht="15.6" thickBot="1" x14ac:dyDescent="0.3">
      <c r="B62" s="109"/>
      <c r="C62" s="25"/>
      <c r="D62" s="25"/>
      <c r="E62" s="25"/>
      <c r="F62" s="25"/>
      <c r="G62" s="25"/>
      <c r="H62" s="25"/>
      <c r="I62" s="25"/>
      <c r="J62" s="83"/>
      <c r="K62" s="25"/>
      <c r="L62" s="25"/>
      <c r="M62" s="25"/>
      <c r="N62" s="25"/>
      <c r="O62" s="25"/>
      <c r="P62" s="25"/>
      <c r="Q62" s="25"/>
      <c r="R62" s="26"/>
    </row>
    <row r="64" spans="2:25" ht="15.6" thickBot="1" x14ac:dyDescent="0.3"/>
    <row r="65" spans="1:21" x14ac:dyDescent="0.25">
      <c r="B65" s="107"/>
      <c r="C65" s="19"/>
      <c r="D65" s="19"/>
      <c r="E65" s="19"/>
      <c r="F65" s="19"/>
      <c r="G65" s="19"/>
      <c r="H65" s="19"/>
      <c r="I65" s="19"/>
      <c r="J65" s="19"/>
      <c r="K65" s="20"/>
      <c r="M65" s="119" t="s">
        <v>2</v>
      </c>
      <c r="N65" s="119" t="s">
        <v>85</v>
      </c>
      <c r="O65" s="120" t="s">
        <v>86</v>
      </c>
    </row>
    <row r="66" spans="1:21" x14ac:dyDescent="0.25">
      <c r="B66" s="247" t="s">
        <v>80</v>
      </c>
      <c r="C66" s="245">
        <v>1</v>
      </c>
      <c r="D66" s="11"/>
      <c r="E66" s="97"/>
      <c r="F66" s="98"/>
      <c r="G66" s="99"/>
      <c r="H66" s="14"/>
      <c r="I66" s="14"/>
      <c r="J66" s="14"/>
      <c r="K66" s="22"/>
      <c r="M66" s="119"/>
      <c r="N66" s="119"/>
      <c r="O66" s="117"/>
    </row>
    <row r="67" spans="1:21" x14ac:dyDescent="0.25">
      <c r="B67" s="247"/>
      <c r="C67" s="245"/>
      <c r="D67" s="14"/>
      <c r="E67" s="100"/>
      <c r="F67" s="101" t="s">
        <v>76</v>
      </c>
      <c r="G67" s="102"/>
      <c r="H67" s="14"/>
      <c r="I67" s="14"/>
      <c r="J67" s="14"/>
      <c r="K67" s="22"/>
      <c r="M67" s="119"/>
      <c r="N67" s="119"/>
      <c r="O67" s="117"/>
    </row>
    <row r="68" spans="1:21" x14ac:dyDescent="0.25">
      <c r="B68" s="108"/>
      <c r="C68" s="80"/>
      <c r="D68" s="14"/>
      <c r="E68" s="100"/>
      <c r="F68" s="84"/>
      <c r="G68" s="102"/>
      <c r="H68" s="14"/>
      <c r="I68" s="11"/>
      <c r="J68" s="246">
        <f>'Pomocné výpočty'!F44</f>
        <v>0</v>
      </c>
      <c r="K68" s="244" t="s">
        <v>84</v>
      </c>
      <c r="M68" s="119"/>
      <c r="N68" s="119"/>
      <c r="O68" s="117"/>
    </row>
    <row r="69" spans="1:21" x14ac:dyDescent="0.25">
      <c r="B69" s="108"/>
      <c r="C69" s="14"/>
      <c r="D69" s="14"/>
      <c r="E69" s="100"/>
      <c r="F69" s="84"/>
      <c r="G69" s="102"/>
      <c r="H69" s="14"/>
      <c r="I69" s="14"/>
      <c r="J69" s="246"/>
      <c r="K69" s="244"/>
      <c r="M69" s="119"/>
      <c r="N69" s="119"/>
      <c r="O69" s="117"/>
    </row>
    <row r="70" spans="1:21" x14ac:dyDescent="0.25">
      <c r="B70" s="247" t="s">
        <v>79</v>
      </c>
      <c r="C70" s="245">
        <v>1</v>
      </c>
      <c r="D70" s="11"/>
      <c r="E70" s="100"/>
      <c r="F70" s="84"/>
      <c r="G70" s="102"/>
      <c r="H70" s="14"/>
      <c r="I70" s="14"/>
      <c r="J70" s="14"/>
      <c r="K70" s="22"/>
    </row>
    <row r="71" spans="1:21" x14ac:dyDescent="0.25">
      <c r="B71" s="247"/>
      <c r="C71" s="245"/>
      <c r="D71" s="14"/>
      <c r="E71" s="103"/>
      <c r="F71" s="104"/>
      <c r="G71" s="105"/>
      <c r="H71" s="14"/>
      <c r="I71" s="14"/>
      <c r="J71" s="14"/>
      <c r="K71" s="22"/>
    </row>
    <row r="72" spans="1:21" ht="15.6" thickBot="1" x14ac:dyDescent="0.3">
      <c r="B72" s="109"/>
      <c r="C72" s="25"/>
      <c r="D72" s="25"/>
      <c r="E72" s="25"/>
      <c r="F72" s="25"/>
      <c r="G72" s="25"/>
      <c r="H72" s="25"/>
      <c r="I72" s="25"/>
      <c r="J72" s="25"/>
      <c r="K72" s="26"/>
    </row>
    <row r="73" spans="1:21" x14ac:dyDescent="0.25">
      <c r="A73" s="6"/>
      <c r="B73" s="88"/>
      <c r="C73" s="7"/>
      <c r="D73" s="7"/>
      <c r="E73" s="7"/>
      <c r="F73" s="7"/>
      <c r="G73" s="7"/>
      <c r="H73" s="7"/>
      <c r="I73" s="7"/>
      <c r="J73" s="7"/>
      <c r="K73" s="7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:21" ht="15.6" thickBot="1" x14ac:dyDescent="0.3">
      <c r="A74" s="6"/>
      <c r="B74" s="87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1:21" x14ac:dyDescent="0.25">
      <c r="B75" s="107"/>
      <c r="C75" s="19"/>
      <c r="D75" s="19"/>
      <c r="E75" s="19"/>
      <c r="F75" s="19"/>
      <c r="G75" s="19"/>
      <c r="H75" s="19"/>
      <c r="I75" s="19"/>
      <c r="J75" s="19"/>
      <c r="K75" s="20"/>
      <c r="M75" s="119" t="s">
        <v>2</v>
      </c>
      <c r="N75" s="119" t="s">
        <v>85</v>
      </c>
      <c r="O75" s="120" t="s">
        <v>86</v>
      </c>
    </row>
    <row r="76" spans="1:21" x14ac:dyDescent="0.25">
      <c r="B76" s="247" t="s">
        <v>80</v>
      </c>
      <c r="C76" s="245">
        <v>0</v>
      </c>
      <c r="D76" s="11"/>
      <c r="E76" s="97"/>
      <c r="F76" s="98"/>
      <c r="G76" s="99"/>
      <c r="H76" s="14"/>
      <c r="I76" s="14"/>
      <c r="J76" s="14"/>
      <c r="K76" s="22"/>
      <c r="M76" s="119"/>
      <c r="N76" s="119"/>
      <c r="O76" s="117"/>
    </row>
    <row r="77" spans="1:21" x14ac:dyDescent="0.25">
      <c r="B77" s="247"/>
      <c r="C77" s="245"/>
      <c r="D77" s="14"/>
      <c r="E77" s="100"/>
      <c r="F77" s="106" t="s">
        <v>77</v>
      </c>
      <c r="G77" s="102"/>
      <c r="H77" s="14"/>
      <c r="I77" s="14"/>
      <c r="J77" s="14"/>
      <c r="K77" s="22"/>
      <c r="M77" s="119"/>
      <c r="N77" s="119"/>
      <c r="O77" s="117"/>
    </row>
    <row r="78" spans="1:21" x14ac:dyDescent="0.25">
      <c r="B78" s="108"/>
      <c r="C78" s="80"/>
      <c r="D78" s="14"/>
      <c r="E78" s="100"/>
      <c r="F78" s="84"/>
      <c r="G78" s="102"/>
      <c r="H78" s="14"/>
      <c r="I78" s="11"/>
      <c r="J78" s="246">
        <f>'Pomocné výpočty'!F47</f>
        <v>1</v>
      </c>
      <c r="K78" s="244" t="s">
        <v>84</v>
      </c>
      <c r="M78" s="119"/>
      <c r="N78" s="119"/>
      <c r="O78" s="117"/>
    </row>
    <row r="79" spans="1:21" x14ac:dyDescent="0.25">
      <c r="B79" s="108"/>
      <c r="C79" s="14"/>
      <c r="D79" s="14"/>
      <c r="E79" s="100"/>
      <c r="F79" s="84"/>
      <c r="G79" s="102"/>
      <c r="H79" s="14"/>
      <c r="I79" s="14"/>
      <c r="J79" s="246"/>
      <c r="K79" s="244"/>
      <c r="M79" s="119"/>
      <c r="N79" s="119"/>
      <c r="O79" s="117"/>
    </row>
    <row r="80" spans="1:21" x14ac:dyDescent="0.25">
      <c r="B80" s="247" t="s">
        <v>79</v>
      </c>
      <c r="C80" s="245">
        <v>0</v>
      </c>
      <c r="D80" s="11"/>
      <c r="E80" s="100"/>
      <c r="F80" s="84"/>
      <c r="G80" s="102"/>
      <c r="H80" s="14"/>
      <c r="I80" s="14"/>
      <c r="J80" s="14"/>
      <c r="K80" s="22"/>
    </row>
    <row r="81" spans="2:31" x14ac:dyDescent="0.25">
      <c r="B81" s="247"/>
      <c r="C81" s="245"/>
      <c r="D81" s="14"/>
      <c r="E81" s="103"/>
      <c r="F81" s="104"/>
      <c r="G81" s="105"/>
      <c r="H81" s="14"/>
      <c r="I81" s="14"/>
      <c r="J81" s="14"/>
      <c r="K81" s="22"/>
    </row>
    <row r="82" spans="2:31" ht="15.6" thickBot="1" x14ac:dyDescent="0.3">
      <c r="B82" s="109"/>
      <c r="C82" s="25"/>
      <c r="D82" s="25"/>
      <c r="E82" s="25"/>
      <c r="F82" s="25"/>
      <c r="G82" s="25"/>
      <c r="H82" s="25"/>
      <c r="I82" s="25"/>
      <c r="J82" s="25"/>
      <c r="K82" s="26"/>
    </row>
    <row r="84" spans="2:31" ht="15.6" thickBot="1" x14ac:dyDescent="0.3"/>
    <row r="85" spans="2:31" x14ac:dyDescent="0.25">
      <c r="B85" s="107"/>
      <c r="C85" s="19"/>
      <c r="D85" s="19"/>
      <c r="E85" s="19"/>
      <c r="F85" s="19"/>
      <c r="G85" s="19"/>
      <c r="H85" s="19"/>
      <c r="I85" s="19"/>
      <c r="J85" s="20"/>
      <c r="L85" s="119" t="s">
        <v>2</v>
      </c>
      <c r="M85" s="119" t="s">
        <v>85</v>
      </c>
      <c r="N85" s="120" t="s">
        <v>86</v>
      </c>
    </row>
    <row r="86" spans="2:31" x14ac:dyDescent="0.25">
      <c r="B86" s="247" t="s">
        <v>80</v>
      </c>
      <c r="C86" s="245">
        <v>0</v>
      </c>
      <c r="D86" s="89"/>
      <c r="E86" s="97"/>
      <c r="F86" s="98"/>
      <c r="G86" s="99"/>
      <c r="H86" s="14"/>
      <c r="I86" s="14"/>
      <c r="J86" s="22"/>
      <c r="L86" s="119"/>
      <c r="M86" s="119"/>
      <c r="N86" s="117"/>
    </row>
    <row r="87" spans="2:31" x14ac:dyDescent="0.25">
      <c r="B87" s="247"/>
      <c r="C87" s="245"/>
      <c r="D87" s="2"/>
      <c r="E87" s="100"/>
      <c r="F87" s="106" t="s">
        <v>95</v>
      </c>
      <c r="G87" s="102"/>
      <c r="H87" s="14"/>
      <c r="I87" s="14"/>
      <c r="J87" s="22"/>
      <c r="L87" s="119"/>
      <c r="M87" s="119"/>
      <c r="N87" s="117"/>
    </row>
    <row r="88" spans="2:31" x14ac:dyDescent="0.25">
      <c r="B88" s="108"/>
      <c r="C88" s="80"/>
      <c r="D88" s="14"/>
      <c r="E88" s="100"/>
      <c r="F88" s="84"/>
      <c r="G88" s="102"/>
      <c r="H88" s="17"/>
      <c r="I88" s="246">
        <f>'Pomocné výpočty'!C50</f>
        <v>0</v>
      </c>
      <c r="J88" s="244" t="s">
        <v>84</v>
      </c>
      <c r="L88" s="119"/>
      <c r="M88" s="119"/>
      <c r="N88" s="117"/>
    </row>
    <row r="89" spans="2:31" x14ac:dyDescent="0.25">
      <c r="B89" s="108"/>
      <c r="C89" s="14"/>
      <c r="D89" s="14"/>
      <c r="E89" s="100"/>
      <c r="F89" s="84"/>
      <c r="G89" s="102"/>
      <c r="H89" s="14"/>
      <c r="I89" s="246"/>
      <c r="J89" s="244"/>
      <c r="L89" s="119"/>
      <c r="M89" s="119"/>
      <c r="N89" s="117"/>
    </row>
    <row r="90" spans="2:31" x14ac:dyDescent="0.25">
      <c r="B90" s="247" t="s">
        <v>79</v>
      </c>
      <c r="C90" s="245">
        <v>0</v>
      </c>
      <c r="D90" s="11"/>
      <c r="E90" s="100"/>
      <c r="F90" s="84"/>
      <c r="G90" s="102"/>
      <c r="H90" s="14"/>
      <c r="I90" s="14"/>
      <c r="J90" s="110"/>
    </row>
    <row r="91" spans="2:31" x14ac:dyDescent="0.25">
      <c r="B91" s="247"/>
      <c r="C91" s="245"/>
      <c r="D91" s="14"/>
      <c r="E91" s="103"/>
      <c r="F91" s="104"/>
      <c r="G91" s="105"/>
      <c r="H91" s="14"/>
      <c r="I91" s="14"/>
      <c r="J91" s="110"/>
    </row>
    <row r="92" spans="2:31" ht="15.6" thickBot="1" x14ac:dyDescent="0.3">
      <c r="B92" s="109"/>
      <c r="C92" s="83"/>
      <c r="D92" s="25"/>
      <c r="E92" s="25"/>
      <c r="F92" s="25"/>
      <c r="G92" s="25"/>
      <c r="H92" s="25"/>
      <c r="I92" s="25"/>
      <c r="J92" s="111"/>
    </row>
    <row r="94" spans="2:31" ht="15.6" thickBot="1" x14ac:dyDescent="0.3"/>
    <row r="95" spans="2:31" x14ac:dyDescent="0.25">
      <c r="B95" s="107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20"/>
      <c r="AC95" s="119" t="s">
        <v>2</v>
      </c>
      <c r="AD95" s="119" t="s">
        <v>85</v>
      </c>
      <c r="AE95" s="120" t="s">
        <v>86</v>
      </c>
    </row>
    <row r="96" spans="2:31" x14ac:dyDescent="0.25">
      <c r="B96" s="108"/>
      <c r="C96" s="14"/>
      <c r="D96" s="14"/>
      <c r="E96" s="97"/>
      <c r="F96" s="98"/>
      <c r="G96" s="99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22"/>
      <c r="AC96" s="119"/>
      <c r="AD96" s="119"/>
      <c r="AE96" s="117"/>
    </row>
    <row r="97" spans="2:31" x14ac:dyDescent="0.25">
      <c r="B97" s="247" t="s">
        <v>80</v>
      </c>
      <c r="C97" s="245">
        <v>1</v>
      </c>
      <c r="D97" s="12"/>
      <c r="E97" s="100"/>
      <c r="F97" s="84">
        <v>1</v>
      </c>
      <c r="G97" s="102"/>
      <c r="H97" s="14"/>
      <c r="I97" s="11"/>
      <c r="J97" s="11"/>
      <c r="K97" s="89"/>
      <c r="L97" s="11"/>
      <c r="M97" s="97"/>
      <c r="N97" s="98"/>
      <c r="O97" s="99"/>
      <c r="P97" s="14"/>
      <c r="Q97" s="11"/>
      <c r="R97" s="14"/>
      <c r="S97" s="11"/>
      <c r="T97" s="14"/>
      <c r="U97" s="14"/>
      <c r="V97" s="14"/>
      <c r="W97" s="14"/>
      <c r="X97" s="14"/>
      <c r="Y97" s="14"/>
      <c r="Z97" s="14"/>
      <c r="AA97" s="22"/>
      <c r="AC97" s="119"/>
      <c r="AD97" s="119"/>
      <c r="AE97" s="117"/>
    </row>
    <row r="98" spans="2:31" x14ac:dyDescent="0.25">
      <c r="B98" s="247"/>
      <c r="C98" s="245"/>
      <c r="D98" s="14"/>
      <c r="E98" s="100"/>
      <c r="F98" s="84"/>
      <c r="G98" s="102"/>
      <c r="H98" s="14"/>
      <c r="I98" s="128"/>
      <c r="J98" s="14"/>
      <c r="K98" s="2"/>
      <c r="L98" s="14"/>
      <c r="M98" s="100"/>
      <c r="N98" s="106" t="s">
        <v>77</v>
      </c>
      <c r="O98" s="102"/>
      <c r="P98" s="14"/>
      <c r="Q98" s="80" t="s">
        <v>2</v>
      </c>
      <c r="R98" s="80" t="s">
        <v>97</v>
      </c>
      <c r="S98" s="80" t="s">
        <v>85</v>
      </c>
      <c r="T98" s="14"/>
      <c r="U98" s="14"/>
      <c r="V98" s="14"/>
      <c r="W98" s="14"/>
      <c r="X98" s="14"/>
      <c r="Y98" s="14"/>
      <c r="Z98" s="14"/>
      <c r="AA98" s="22"/>
      <c r="AC98" s="119"/>
      <c r="AD98" s="119"/>
      <c r="AE98" s="117"/>
    </row>
    <row r="99" spans="2:31" x14ac:dyDescent="0.25">
      <c r="B99" s="108"/>
      <c r="C99" s="14"/>
      <c r="D99" s="14"/>
      <c r="E99" s="103"/>
      <c r="F99" s="104"/>
      <c r="G99" s="105"/>
      <c r="H99" s="14"/>
      <c r="I99" s="80" t="s">
        <v>2</v>
      </c>
      <c r="J99" s="80" t="s">
        <v>64</v>
      </c>
      <c r="K99" s="121">
        <f>'Pomocné výpočty'!E55</f>
        <v>0</v>
      </c>
      <c r="L99" s="14"/>
      <c r="M99" s="100"/>
      <c r="N99" s="84"/>
      <c r="O99" s="102"/>
      <c r="P99" s="14"/>
      <c r="Q99" s="14"/>
      <c r="R99" s="14"/>
      <c r="S99" s="14"/>
      <c r="T99" s="14"/>
      <c r="U99" s="97"/>
      <c r="V99" s="98"/>
      <c r="W99" s="99"/>
      <c r="X99" s="14"/>
      <c r="Y99" s="14"/>
      <c r="Z99" s="14"/>
      <c r="AA99" s="22"/>
      <c r="AC99" s="119"/>
      <c r="AD99" s="119"/>
      <c r="AE99" s="117"/>
    </row>
    <row r="100" spans="2:31" x14ac:dyDescent="0.25">
      <c r="B100" s="108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00"/>
      <c r="N100" s="84"/>
      <c r="O100" s="102"/>
      <c r="P100" s="17"/>
      <c r="Q100" s="11"/>
      <c r="R100" s="11"/>
      <c r="S100" s="11"/>
      <c r="T100" s="11"/>
      <c r="U100" s="100"/>
      <c r="V100" s="84">
        <v>1</v>
      </c>
      <c r="W100" s="102"/>
      <c r="X100" s="14"/>
      <c r="Y100" s="11"/>
      <c r="Z100" s="246">
        <f>'Pomocné výpočty'!E53</f>
        <v>1</v>
      </c>
      <c r="AA100" s="244" t="s">
        <v>84</v>
      </c>
    </row>
    <row r="101" spans="2:31" x14ac:dyDescent="0.25">
      <c r="B101" s="108"/>
      <c r="C101" s="14"/>
      <c r="D101" s="14"/>
      <c r="E101" s="14"/>
      <c r="F101" s="14"/>
      <c r="G101" s="14"/>
      <c r="H101" s="14"/>
      <c r="I101" s="11"/>
      <c r="J101" s="14"/>
      <c r="K101" s="14"/>
      <c r="L101" s="14"/>
      <c r="M101" s="100"/>
      <c r="N101" s="84"/>
      <c r="O101" s="102"/>
      <c r="P101" s="14"/>
      <c r="Q101" s="14"/>
      <c r="R101" s="14"/>
      <c r="S101" s="14"/>
      <c r="T101" s="14"/>
      <c r="U101" s="100"/>
      <c r="V101" s="84"/>
      <c r="W101" s="102"/>
      <c r="X101" s="14"/>
      <c r="Y101" s="14"/>
      <c r="Z101" s="246"/>
      <c r="AA101" s="244"/>
    </row>
    <row r="102" spans="2:31" x14ac:dyDescent="0.25">
      <c r="B102" s="108"/>
      <c r="C102" s="2"/>
      <c r="D102" s="14"/>
      <c r="E102" s="97"/>
      <c r="F102" s="98"/>
      <c r="G102" s="99"/>
      <c r="H102" s="14"/>
      <c r="I102" s="80" t="s">
        <v>85</v>
      </c>
      <c r="J102" s="80" t="s">
        <v>64</v>
      </c>
      <c r="K102" s="121">
        <f>'Pomocné výpočty'!E56</f>
        <v>0</v>
      </c>
      <c r="L102" s="14"/>
      <c r="M102" s="100"/>
      <c r="N102" s="84"/>
      <c r="O102" s="102"/>
      <c r="P102" s="14"/>
      <c r="Q102" s="129" t="s">
        <v>64</v>
      </c>
      <c r="R102" s="121">
        <f>IF(K99+K102&gt;0,1,0)</f>
        <v>0</v>
      </c>
      <c r="S102" s="14"/>
      <c r="T102" s="14"/>
      <c r="U102" s="103"/>
      <c r="V102" s="104"/>
      <c r="W102" s="105"/>
      <c r="X102" s="14"/>
      <c r="Y102" s="14"/>
      <c r="Z102" s="14"/>
      <c r="AA102" s="22"/>
    </row>
    <row r="103" spans="2:31" x14ac:dyDescent="0.25">
      <c r="B103" s="247" t="s">
        <v>79</v>
      </c>
      <c r="C103" s="245">
        <v>1</v>
      </c>
      <c r="D103" s="12"/>
      <c r="E103" s="100"/>
      <c r="F103" s="84">
        <v>1</v>
      </c>
      <c r="G103" s="102"/>
      <c r="H103" s="14"/>
      <c r="I103" s="11"/>
      <c r="J103" s="11"/>
      <c r="K103" s="89"/>
      <c r="L103" s="11"/>
      <c r="M103" s="100"/>
      <c r="N103" s="84"/>
      <c r="O103" s="102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22"/>
    </row>
    <row r="104" spans="2:31" x14ac:dyDescent="0.25">
      <c r="B104" s="247"/>
      <c r="C104" s="245"/>
      <c r="D104" s="14"/>
      <c r="E104" s="100"/>
      <c r="F104" s="84"/>
      <c r="G104" s="102"/>
      <c r="H104" s="14"/>
      <c r="I104" s="9"/>
      <c r="J104" s="14"/>
      <c r="K104" s="2"/>
      <c r="L104" s="14"/>
      <c r="M104" s="103"/>
      <c r="N104" s="104"/>
      <c r="O104" s="105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22"/>
    </row>
    <row r="105" spans="2:31" x14ac:dyDescent="0.25">
      <c r="B105" s="108"/>
      <c r="C105" s="2"/>
      <c r="D105" s="14"/>
      <c r="E105" s="103"/>
      <c r="F105" s="104"/>
      <c r="G105" s="105"/>
      <c r="H105" s="14"/>
      <c r="I105" s="14"/>
      <c r="J105" s="14"/>
      <c r="K105" s="14"/>
      <c r="L105" s="14"/>
      <c r="M105" s="2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22"/>
    </row>
    <row r="106" spans="2:31" ht="15.6" thickBot="1" x14ac:dyDescent="0.3">
      <c r="B106" s="109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6"/>
    </row>
    <row r="108" spans="2:31" ht="15.6" thickBot="1" x14ac:dyDescent="0.3"/>
    <row r="109" spans="2:31" x14ac:dyDescent="0.25">
      <c r="B109" s="107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20"/>
      <c r="AC109" s="119" t="s">
        <v>2</v>
      </c>
      <c r="AD109" s="119" t="s">
        <v>85</v>
      </c>
      <c r="AE109" s="120" t="s">
        <v>86</v>
      </c>
    </row>
    <row r="110" spans="2:31" x14ac:dyDescent="0.25">
      <c r="B110" s="108"/>
      <c r="C110" s="14"/>
      <c r="D110" s="14"/>
      <c r="E110" s="97"/>
      <c r="F110" s="98"/>
      <c r="G110" s="99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22"/>
      <c r="AC110" s="119"/>
      <c r="AD110" s="119"/>
      <c r="AE110" s="117"/>
    </row>
    <row r="111" spans="2:31" x14ac:dyDescent="0.25">
      <c r="B111" s="247" t="s">
        <v>80</v>
      </c>
      <c r="C111" s="245">
        <v>1</v>
      </c>
      <c r="D111" s="12"/>
      <c r="E111" s="100"/>
      <c r="F111" s="84">
        <v>1</v>
      </c>
      <c r="G111" s="102"/>
      <c r="H111" s="14"/>
      <c r="I111" s="11"/>
      <c r="J111" s="11"/>
      <c r="K111" s="89"/>
      <c r="L111" s="11"/>
      <c r="M111" s="97"/>
      <c r="N111" s="98"/>
      <c r="O111" s="99"/>
      <c r="P111" s="14"/>
      <c r="Q111" s="11"/>
      <c r="R111" s="14"/>
      <c r="S111" s="11"/>
      <c r="T111" s="14"/>
      <c r="U111" s="14"/>
      <c r="V111" s="14"/>
      <c r="W111" s="14"/>
      <c r="X111" s="14"/>
      <c r="Y111" s="14"/>
      <c r="Z111" s="14"/>
      <c r="AA111" s="22"/>
      <c r="AC111" s="119"/>
      <c r="AD111" s="119"/>
      <c r="AE111" s="117"/>
    </row>
    <row r="112" spans="2:31" x14ac:dyDescent="0.25">
      <c r="B112" s="247"/>
      <c r="C112" s="245"/>
      <c r="D112" s="14"/>
      <c r="E112" s="100"/>
      <c r="F112" s="84"/>
      <c r="G112" s="102"/>
      <c r="H112" s="14"/>
      <c r="I112" s="128"/>
      <c r="J112" s="14"/>
      <c r="K112" s="2"/>
      <c r="L112" s="14"/>
      <c r="M112" s="100"/>
      <c r="N112" s="101" t="s">
        <v>76</v>
      </c>
      <c r="O112" s="102"/>
      <c r="P112" s="14"/>
      <c r="Q112" s="80" t="s">
        <v>2</v>
      </c>
      <c r="R112" s="80" t="s">
        <v>98</v>
      </c>
      <c r="S112" s="80" t="s">
        <v>85</v>
      </c>
      <c r="T112" s="14"/>
      <c r="U112" s="14"/>
      <c r="V112" s="14"/>
      <c r="W112" s="14"/>
      <c r="X112" s="14"/>
      <c r="Y112" s="14"/>
      <c r="Z112" s="14"/>
      <c r="AA112" s="22"/>
      <c r="AC112" s="119"/>
      <c r="AD112" s="119"/>
      <c r="AE112" s="117"/>
    </row>
    <row r="113" spans="2:31" x14ac:dyDescent="0.25">
      <c r="B113" s="108"/>
      <c r="C113" s="14"/>
      <c r="D113" s="14"/>
      <c r="E113" s="103"/>
      <c r="F113" s="104"/>
      <c r="G113" s="105"/>
      <c r="H113" s="14"/>
      <c r="I113" s="80" t="s">
        <v>2</v>
      </c>
      <c r="J113" s="80" t="s">
        <v>64</v>
      </c>
      <c r="K113" s="123">
        <f>'Pomocné výpočty'!E58</f>
        <v>0</v>
      </c>
      <c r="L113" s="14"/>
      <c r="M113" s="100"/>
      <c r="N113" s="84"/>
      <c r="O113" s="102"/>
      <c r="P113" s="14"/>
      <c r="Q113" s="14"/>
      <c r="R113" s="14"/>
      <c r="S113" s="14"/>
      <c r="T113" s="14"/>
      <c r="U113" s="97"/>
      <c r="V113" s="98"/>
      <c r="W113" s="99"/>
      <c r="X113" s="14"/>
      <c r="Y113" s="14"/>
      <c r="Z113" s="2"/>
      <c r="AA113" s="22"/>
      <c r="AC113" s="119"/>
      <c r="AD113" s="119"/>
      <c r="AE113" s="117"/>
    </row>
    <row r="114" spans="2:31" x14ac:dyDescent="0.25">
      <c r="B114" s="108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00"/>
      <c r="N114" s="84"/>
      <c r="O114" s="102"/>
      <c r="P114" s="17"/>
      <c r="Q114" s="11"/>
      <c r="R114" s="11"/>
      <c r="S114" s="11"/>
      <c r="T114" s="11"/>
      <c r="U114" s="100"/>
      <c r="V114" s="84">
        <v>1</v>
      </c>
      <c r="W114" s="102"/>
      <c r="X114" s="14"/>
      <c r="Y114" s="11"/>
      <c r="Z114" s="246">
        <f>'Pomocné výpočty'!I58</f>
        <v>1</v>
      </c>
      <c r="AA114" s="244" t="s">
        <v>84</v>
      </c>
    </row>
    <row r="115" spans="2:31" x14ac:dyDescent="0.25">
      <c r="B115" s="108"/>
      <c r="C115" s="14"/>
      <c r="D115" s="14"/>
      <c r="E115" s="14"/>
      <c r="F115" s="14"/>
      <c r="G115" s="14"/>
      <c r="H115" s="14"/>
      <c r="I115" s="11"/>
      <c r="J115" s="14"/>
      <c r="K115" s="14"/>
      <c r="L115" s="14"/>
      <c r="M115" s="100"/>
      <c r="N115" s="84"/>
      <c r="O115" s="102"/>
      <c r="P115" s="14"/>
      <c r="Q115" s="14"/>
      <c r="R115" s="14"/>
      <c r="S115" s="14"/>
      <c r="T115" s="14"/>
      <c r="U115" s="100"/>
      <c r="V115" s="84"/>
      <c r="W115" s="102"/>
      <c r="X115" s="14"/>
      <c r="Y115" s="14"/>
      <c r="Z115" s="246"/>
      <c r="AA115" s="244"/>
    </row>
    <row r="116" spans="2:31" x14ac:dyDescent="0.25">
      <c r="B116" s="108"/>
      <c r="C116" s="14"/>
      <c r="D116" s="14"/>
      <c r="E116" s="97"/>
      <c r="F116" s="98"/>
      <c r="G116" s="99"/>
      <c r="H116" s="14"/>
      <c r="I116" s="80" t="s">
        <v>85</v>
      </c>
      <c r="J116" s="80" t="s">
        <v>64</v>
      </c>
      <c r="K116" s="121">
        <f>'Pomocné výpočty'!E59</f>
        <v>0</v>
      </c>
      <c r="L116" s="14"/>
      <c r="M116" s="100"/>
      <c r="N116" s="84"/>
      <c r="O116" s="102"/>
      <c r="P116" s="14"/>
      <c r="Q116" s="129" t="s">
        <v>64</v>
      </c>
      <c r="R116" s="121">
        <f>'Pomocné výpočty'!G58</f>
        <v>0</v>
      </c>
      <c r="S116" s="14"/>
      <c r="T116" s="14"/>
      <c r="U116" s="103"/>
      <c r="V116" s="104"/>
      <c r="W116" s="105"/>
      <c r="X116" s="14"/>
      <c r="Y116" s="14"/>
      <c r="Z116" s="2"/>
      <c r="AA116" s="22"/>
    </row>
    <row r="117" spans="2:31" x14ac:dyDescent="0.25">
      <c r="B117" s="247" t="s">
        <v>79</v>
      </c>
      <c r="C117" s="245">
        <v>1</v>
      </c>
      <c r="D117" s="12"/>
      <c r="E117" s="100"/>
      <c r="F117" s="84">
        <v>1</v>
      </c>
      <c r="G117" s="102"/>
      <c r="H117" s="14"/>
      <c r="I117" s="11"/>
      <c r="J117" s="11"/>
      <c r="K117" s="11"/>
      <c r="L117" s="11"/>
      <c r="M117" s="100"/>
      <c r="N117" s="84"/>
      <c r="O117" s="102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22"/>
    </row>
    <row r="118" spans="2:31" x14ac:dyDescent="0.25">
      <c r="B118" s="247"/>
      <c r="C118" s="245"/>
      <c r="D118" s="14"/>
      <c r="E118" s="100"/>
      <c r="F118" s="84"/>
      <c r="G118" s="102"/>
      <c r="H118" s="14"/>
      <c r="I118" s="9"/>
      <c r="J118" s="14"/>
      <c r="K118" s="14"/>
      <c r="L118" s="14"/>
      <c r="M118" s="103"/>
      <c r="N118" s="104"/>
      <c r="O118" s="105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22"/>
    </row>
    <row r="119" spans="2:31" x14ac:dyDescent="0.25">
      <c r="B119" s="108"/>
      <c r="C119" s="14"/>
      <c r="D119" s="14"/>
      <c r="E119" s="103"/>
      <c r="F119" s="104"/>
      <c r="G119" s="105"/>
      <c r="H119" s="14"/>
      <c r="I119" s="14"/>
      <c r="J119" s="14"/>
      <c r="K119" s="14"/>
      <c r="L119" s="14"/>
      <c r="M119" s="2"/>
      <c r="N119" s="2"/>
      <c r="O119" s="2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22"/>
    </row>
    <row r="120" spans="2:31" ht="15.6" thickBot="1" x14ac:dyDescent="0.3">
      <c r="B120" s="109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6"/>
    </row>
    <row r="122" spans="2:31" ht="15.6" thickBot="1" x14ac:dyDescent="0.3"/>
    <row r="123" spans="2:31" x14ac:dyDescent="0.25">
      <c r="B123" s="107"/>
      <c r="C123" s="19"/>
      <c r="D123" s="19"/>
      <c r="E123" s="19"/>
      <c r="F123" s="19"/>
      <c r="G123" s="19"/>
      <c r="H123" s="19"/>
      <c r="I123" s="19"/>
      <c r="J123" s="19"/>
      <c r="K123" s="19"/>
      <c r="L123" s="20"/>
      <c r="N123" s="119" t="s">
        <v>2</v>
      </c>
      <c r="O123" s="119" t="s">
        <v>85</v>
      </c>
      <c r="P123" s="120" t="s">
        <v>86</v>
      </c>
    </row>
    <row r="124" spans="2:31" x14ac:dyDescent="0.25">
      <c r="B124" s="247" t="s">
        <v>80</v>
      </c>
      <c r="C124" s="245">
        <v>1</v>
      </c>
      <c r="D124" s="11"/>
      <c r="E124" s="11"/>
      <c r="F124" s="97"/>
      <c r="G124" s="98"/>
      <c r="H124" s="99"/>
      <c r="I124" s="14"/>
      <c r="J124" s="14"/>
      <c r="K124" s="14"/>
      <c r="L124" s="22"/>
      <c r="N124" s="119"/>
      <c r="O124" s="119"/>
      <c r="P124" s="117"/>
    </row>
    <row r="125" spans="2:31" x14ac:dyDescent="0.25">
      <c r="B125" s="247"/>
      <c r="C125" s="245"/>
      <c r="D125" s="14"/>
      <c r="E125" s="131"/>
      <c r="F125" s="100"/>
      <c r="G125" s="101" t="s">
        <v>76</v>
      </c>
      <c r="H125" s="102"/>
      <c r="I125" s="14"/>
      <c r="J125" s="14"/>
      <c r="K125" s="14"/>
      <c r="L125" s="22"/>
      <c r="N125" s="119"/>
      <c r="O125" s="119"/>
      <c r="P125" s="117"/>
    </row>
    <row r="126" spans="2:31" x14ac:dyDescent="0.25">
      <c r="B126" s="108"/>
      <c r="C126" s="80"/>
      <c r="D126" s="14"/>
      <c r="E126" s="132"/>
      <c r="F126" s="100"/>
      <c r="G126" s="84"/>
      <c r="H126" s="102"/>
      <c r="I126" s="14"/>
      <c r="J126" s="11"/>
      <c r="K126" s="246">
        <f>IF(C124=1,0,1)</f>
        <v>0</v>
      </c>
      <c r="L126" s="244" t="s">
        <v>84</v>
      </c>
    </row>
    <row r="127" spans="2:31" x14ac:dyDescent="0.25">
      <c r="B127" s="108"/>
      <c r="C127" s="14"/>
      <c r="D127" s="14"/>
      <c r="E127" s="132"/>
      <c r="F127" s="100"/>
      <c r="G127" s="84"/>
      <c r="H127" s="102"/>
      <c r="I127" s="14"/>
      <c r="J127" s="14"/>
      <c r="K127" s="246"/>
      <c r="L127" s="244"/>
    </row>
    <row r="128" spans="2:31" x14ac:dyDescent="0.25">
      <c r="B128" s="247"/>
      <c r="C128" s="124">
        <f>C124</f>
        <v>1</v>
      </c>
      <c r="D128" s="14"/>
      <c r="E128" s="29"/>
      <c r="F128" s="100"/>
      <c r="G128" s="84"/>
      <c r="H128" s="102"/>
      <c r="I128" s="14"/>
      <c r="J128" s="14"/>
      <c r="K128" s="14"/>
      <c r="L128" s="22"/>
    </row>
    <row r="129" spans="2:24" x14ac:dyDescent="0.25">
      <c r="B129" s="247"/>
      <c r="C129" s="91"/>
      <c r="D129" s="14"/>
      <c r="E129" s="14"/>
      <c r="F129" s="103"/>
      <c r="G129" s="104"/>
      <c r="H129" s="105"/>
      <c r="I129" s="14"/>
      <c r="J129" s="14"/>
      <c r="K129" s="14"/>
      <c r="L129" s="22"/>
    </row>
    <row r="130" spans="2:24" ht="15.6" thickBot="1" x14ac:dyDescent="0.3">
      <c r="B130" s="109"/>
      <c r="C130" s="25"/>
      <c r="D130" s="25"/>
      <c r="E130" s="25"/>
      <c r="F130" s="25"/>
      <c r="G130" s="25"/>
      <c r="H130" s="25"/>
      <c r="I130" s="25"/>
      <c r="J130" s="25"/>
      <c r="K130" s="25"/>
      <c r="L130" s="26"/>
    </row>
    <row r="132" spans="2:24" ht="15.6" thickBot="1" x14ac:dyDescent="0.3">
      <c r="J132" s="7"/>
      <c r="K132" s="7"/>
      <c r="L132" s="7"/>
      <c r="M132" s="2"/>
    </row>
    <row r="133" spans="2:24" x14ac:dyDescent="0.25">
      <c r="B133" s="107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20"/>
      <c r="U133" s="119" t="s">
        <v>2</v>
      </c>
      <c r="V133" s="119" t="s">
        <v>85</v>
      </c>
      <c r="W133" s="120" t="s">
        <v>86</v>
      </c>
    </row>
    <row r="134" spans="2:24" x14ac:dyDescent="0.25">
      <c r="B134" s="247" t="s">
        <v>80</v>
      </c>
      <c r="C134" s="245">
        <v>1</v>
      </c>
      <c r="D134" s="11"/>
      <c r="E134" s="97"/>
      <c r="F134" s="98"/>
      <c r="G134" s="99"/>
      <c r="H134" s="14"/>
      <c r="I134" s="14"/>
      <c r="J134" s="14"/>
      <c r="K134" s="14"/>
      <c r="L134" s="11"/>
      <c r="M134" s="97"/>
      <c r="N134" s="98"/>
      <c r="O134" s="99"/>
      <c r="P134" s="14"/>
      <c r="Q134" s="14"/>
      <c r="R134" s="14"/>
      <c r="S134" s="22"/>
      <c r="U134" s="119"/>
      <c r="V134" s="119"/>
      <c r="W134" s="117"/>
    </row>
    <row r="135" spans="2:24" x14ac:dyDescent="0.25">
      <c r="B135" s="247"/>
      <c r="C135" s="245"/>
      <c r="D135" s="14"/>
      <c r="E135" s="100"/>
      <c r="F135" s="101" t="s">
        <v>76</v>
      </c>
      <c r="G135" s="102"/>
      <c r="H135" s="14"/>
      <c r="I135" s="14"/>
      <c r="J135" s="124">
        <f>IF(C134*C138=1,0,1)</f>
        <v>0</v>
      </c>
      <c r="K135" s="14"/>
      <c r="L135" s="13"/>
      <c r="M135" s="100"/>
      <c r="N135" s="101" t="s">
        <v>76</v>
      </c>
      <c r="O135" s="102"/>
      <c r="P135" s="14"/>
      <c r="Q135" s="14"/>
      <c r="R135" s="14"/>
      <c r="S135" s="22"/>
      <c r="U135" s="119"/>
      <c r="V135" s="119"/>
      <c r="W135" s="117"/>
    </row>
    <row r="136" spans="2:24" x14ac:dyDescent="0.25">
      <c r="B136" s="108"/>
      <c r="C136" s="80"/>
      <c r="D136" s="14"/>
      <c r="E136" s="100"/>
      <c r="F136" s="84"/>
      <c r="G136" s="102"/>
      <c r="H136" s="14"/>
      <c r="I136" s="11"/>
      <c r="J136" s="138"/>
      <c r="K136" s="139"/>
      <c r="L136" s="13"/>
      <c r="M136" s="100"/>
      <c r="N136" s="84"/>
      <c r="O136" s="102"/>
      <c r="P136" s="14"/>
      <c r="Q136" s="11"/>
      <c r="R136" s="246">
        <f>IF(J135=1,0,1)</f>
        <v>1</v>
      </c>
      <c r="S136" s="244" t="s">
        <v>84</v>
      </c>
      <c r="U136" s="119"/>
      <c r="V136" s="119"/>
      <c r="W136" s="117"/>
    </row>
    <row r="137" spans="2:24" x14ac:dyDescent="0.25">
      <c r="B137" s="108"/>
      <c r="C137" s="14"/>
      <c r="D137" s="14"/>
      <c r="E137" s="100"/>
      <c r="F137" s="84"/>
      <c r="G137" s="102"/>
      <c r="H137" s="14"/>
      <c r="I137" s="14"/>
      <c r="J137" s="134"/>
      <c r="K137" s="140"/>
      <c r="L137" s="13"/>
      <c r="M137" s="100"/>
      <c r="N137" s="84"/>
      <c r="O137" s="102"/>
      <c r="P137" s="14"/>
      <c r="Q137" s="14"/>
      <c r="R137" s="246"/>
      <c r="S137" s="244"/>
      <c r="U137" s="119"/>
      <c r="V137" s="119"/>
      <c r="W137" s="117"/>
    </row>
    <row r="138" spans="2:24" x14ac:dyDescent="0.25">
      <c r="B138" s="247" t="s">
        <v>79</v>
      </c>
      <c r="C138" s="245">
        <v>1</v>
      </c>
      <c r="D138" s="11"/>
      <c r="E138" s="100"/>
      <c r="F138" s="84"/>
      <c r="G138" s="102"/>
      <c r="H138" s="14"/>
      <c r="I138" s="14"/>
      <c r="J138" s="123">
        <f>J135</f>
        <v>0</v>
      </c>
      <c r="K138" s="14"/>
      <c r="L138" s="17"/>
      <c r="M138" s="100"/>
      <c r="N138" s="84"/>
      <c r="O138" s="102"/>
      <c r="P138" s="14"/>
      <c r="Q138" s="14"/>
      <c r="R138" s="14"/>
      <c r="S138" s="22"/>
    </row>
    <row r="139" spans="2:24" x14ac:dyDescent="0.25">
      <c r="B139" s="247"/>
      <c r="C139" s="245"/>
      <c r="D139" s="14"/>
      <c r="E139" s="103"/>
      <c r="F139" s="104"/>
      <c r="G139" s="105"/>
      <c r="H139" s="14"/>
      <c r="I139" s="14"/>
      <c r="J139" s="14"/>
      <c r="K139" s="14"/>
      <c r="L139" s="14"/>
      <c r="M139" s="103"/>
      <c r="N139" s="104"/>
      <c r="O139" s="105"/>
      <c r="P139" s="14"/>
      <c r="Q139" s="14"/>
      <c r="R139" s="14"/>
      <c r="S139" s="22"/>
    </row>
    <row r="140" spans="2:24" ht="15.6" thickBot="1" x14ac:dyDescent="0.3">
      <c r="B140" s="109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6"/>
    </row>
    <row r="141" spans="2:24" x14ac:dyDescent="0.25">
      <c r="J141" s="7"/>
      <c r="K141" s="7"/>
      <c r="L141" s="7"/>
      <c r="M141" s="2"/>
    </row>
    <row r="142" spans="2:24" ht="15.6" thickBot="1" x14ac:dyDescent="0.3">
      <c r="J142" s="2"/>
      <c r="K142" s="2"/>
      <c r="L142" s="2"/>
      <c r="M142" s="2"/>
    </row>
    <row r="143" spans="2:24" x14ac:dyDescent="0.25">
      <c r="B143" s="107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20"/>
      <c r="V143" s="119" t="s">
        <v>2</v>
      </c>
      <c r="W143" s="119" t="s">
        <v>85</v>
      </c>
      <c r="X143" s="120" t="s">
        <v>86</v>
      </c>
    </row>
    <row r="144" spans="2:24" x14ac:dyDescent="0.25">
      <c r="B144" s="247" t="s">
        <v>80</v>
      </c>
      <c r="C144" s="245">
        <v>0</v>
      </c>
      <c r="D144" s="11"/>
      <c r="E144" s="11"/>
      <c r="F144" s="97"/>
      <c r="G144" s="98"/>
      <c r="H144" s="99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22"/>
      <c r="V144" s="119"/>
      <c r="W144" s="119"/>
      <c r="X144" s="117"/>
    </row>
    <row r="145" spans="2:24" x14ac:dyDescent="0.25">
      <c r="B145" s="247"/>
      <c r="C145" s="245"/>
      <c r="D145" s="14"/>
      <c r="E145" s="131"/>
      <c r="F145" s="100"/>
      <c r="G145" s="101" t="s">
        <v>76</v>
      </c>
      <c r="H145" s="102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22"/>
      <c r="V145" s="119"/>
      <c r="W145" s="119"/>
      <c r="X145" s="117"/>
    </row>
    <row r="146" spans="2:24" x14ac:dyDescent="0.25">
      <c r="B146" s="108"/>
      <c r="C146" s="80"/>
      <c r="D146" s="14"/>
      <c r="E146" s="132"/>
      <c r="F146" s="100"/>
      <c r="G146" s="84"/>
      <c r="H146" s="102"/>
      <c r="I146" s="14"/>
      <c r="J146" s="11"/>
      <c r="K146" s="138"/>
      <c r="L146" s="139"/>
      <c r="M146" s="14"/>
      <c r="N146" s="14"/>
      <c r="O146" s="14"/>
      <c r="P146" s="14"/>
      <c r="Q146" s="14"/>
      <c r="R146" s="14"/>
      <c r="S146" s="14"/>
      <c r="T146" s="22"/>
      <c r="V146" s="119"/>
      <c r="W146" s="119"/>
      <c r="X146" s="117"/>
    </row>
    <row r="147" spans="2:24" x14ac:dyDescent="0.25">
      <c r="B147" s="108"/>
      <c r="C147" s="14"/>
      <c r="D147" s="14"/>
      <c r="E147" s="132"/>
      <c r="F147" s="100"/>
      <c r="G147" s="84"/>
      <c r="H147" s="102"/>
      <c r="I147" s="14"/>
      <c r="J147" s="14"/>
      <c r="K147" s="134"/>
      <c r="L147" s="140"/>
      <c r="M147" s="13"/>
      <c r="N147" s="14"/>
      <c r="O147" s="14"/>
      <c r="P147" s="14"/>
      <c r="Q147" s="14"/>
      <c r="R147" s="14"/>
      <c r="S147" s="14"/>
      <c r="T147" s="22"/>
      <c r="V147" s="119"/>
      <c r="W147" s="119"/>
      <c r="X147" s="117"/>
    </row>
    <row r="148" spans="2:24" x14ac:dyDescent="0.25">
      <c r="B148" s="247"/>
      <c r="C148" s="124">
        <f>C144</f>
        <v>0</v>
      </c>
      <c r="D148" s="14"/>
      <c r="E148" s="29"/>
      <c r="F148" s="100"/>
      <c r="G148" s="84"/>
      <c r="H148" s="102"/>
      <c r="I148" s="14"/>
      <c r="J148" s="14"/>
      <c r="K148" s="123">
        <f>IF(C144=1,0,1)</f>
        <v>1</v>
      </c>
      <c r="L148" s="14"/>
      <c r="M148" s="13"/>
      <c r="N148" s="14"/>
      <c r="O148" s="14"/>
      <c r="P148" s="14"/>
      <c r="Q148" s="14"/>
      <c r="R148" s="14"/>
      <c r="S148" s="14"/>
      <c r="T148" s="22"/>
    </row>
    <row r="149" spans="2:24" x14ac:dyDescent="0.25">
      <c r="B149" s="247"/>
      <c r="C149" s="91"/>
      <c r="D149" s="14"/>
      <c r="E149" s="14"/>
      <c r="F149" s="103"/>
      <c r="G149" s="104"/>
      <c r="H149" s="105"/>
      <c r="I149" s="14"/>
      <c r="J149" s="14"/>
      <c r="K149" s="7"/>
      <c r="L149" s="14"/>
      <c r="M149" s="17"/>
      <c r="N149" s="97"/>
      <c r="O149" s="98"/>
      <c r="P149" s="99"/>
      <c r="Q149" s="14"/>
      <c r="R149" s="14"/>
      <c r="S149" s="14"/>
      <c r="T149" s="22"/>
    </row>
    <row r="150" spans="2:24" x14ac:dyDescent="0.25">
      <c r="B150" s="108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00"/>
      <c r="O150" s="101" t="s">
        <v>76</v>
      </c>
      <c r="P150" s="102"/>
      <c r="Q150" s="14"/>
      <c r="R150" s="14"/>
      <c r="S150" s="14"/>
      <c r="T150" s="22"/>
    </row>
    <row r="151" spans="2:24" x14ac:dyDescent="0.25">
      <c r="B151" s="108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00"/>
      <c r="O151" s="84"/>
      <c r="P151" s="102"/>
      <c r="Q151" s="14"/>
      <c r="R151" s="11"/>
      <c r="S151" s="246">
        <f>IF((K148*K154)=1,0,1)</f>
        <v>1</v>
      </c>
      <c r="T151" s="244" t="s">
        <v>84</v>
      </c>
    </row>
    <row r="152" spans="2:24" x14ac:dyDescent="0.25">
      <c r="B152" s="108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00"/>
      <c r="O152" s="84"/>
      <c r="P152" s="102"/>
      <c r="Q152" s="14"/>
      <c r="R152" s="14"/>
      <c r="S152" s="246"/>
      <c r="T152" s="244"/>
    </row>
    <row r="153" spans="2:24" x14ac:dyDescent="0.25">
      <c r="B153" s="247" t="s">
        <v>79</v>
      </c>
      <c r="C153" s="245">
        <v>1</v>
      </c>
      <c r="D153" s="11"/>
      <c r="E153" s="11"/>
      <c r="F153" s="97"/>
      <c r="G153" s="98"/>
      <c r="H153" s="99"/>
      <c r="I153" s="14"/>
      <c r="J153" s="14"/>
      <c r="K153" s="2"/>
      <c r="L153" s="14"/>
      <c r="M153" s="11"/>
      <c r="N153" s="100"/>
      <c r="O153" s="84"/>
      <c r="P153" s="102"/>
      <c r="Q153" s="14"/>
      <c r="R153" s="14"/>
      <c r="S153" s="14"/>
      <c r="T153" s="22"/>
    </row>
    <row r="154" spans="2:24" x14ac:dyDescent="0.25">
      <c r="B154" s="247"/>
      <c r="C154" s="245"/>
      <c r="D154" s="14"/>
      <c r="E154" s="131"/>
      <c r="F154" s="100"/>
      <c r="G154" s="101" t="s">
        <v>76</v>
      </c>
      <c r="H154" s="102"/>
      <c r="I154" s="14"/>
      <c r="J154" s="14"/>
      <c r="K154" s="123">
        <f>IF(C153=1,0,1)</f>
        <v>0</v>
      </c>
      <c r="L154" s="14"/>
      <c r="M154" s="8"/>
      <c r="N154" s="103"/>
      <c r="O154" s="104"/>
      <c r="P154" s="105"/>
      <c r="Q154" s="14"/>
      <c r="R154" s="14"/>
      <c r="S154" s="14"/>
      <c r="T154" s="22"/>
    </row>
    <row r="155" spans="2:24" x14ac:dyDescent="0.25">
      <c r="B155" s="108"/>
      <c r="C155" s="80"/>
      <c r="D155" s="14"/>
      <c r="E155" s="132"/>
      <c r="F155" s="100"/>
      <c r="G155" s="84"/>
      <c r="H155" s="102"/>
      <c r="I155" s="14"/>
      <c r="J155" s="11"/>
      <c r="K155" s="11"/>
      <c r="L155" s="11"/>
      <c r="M155" s="13"/>
      <c r="N155" s="14"/>
      <c r="O155" s="14"/>
      <c r="P155" s="14"/>
      <c r="Q155" s="14"/>
      <c r="R155" s="14"/>
      <c r="S155" s="14"/>
      <c r="T155" s="22"/>
    </row>
    <row r="156" spans="2:24" x14ac:dyDescent="0.25">
      <c r="B156" s="108"/>
      <c r="C156" s="14"/>
      <c r="D156" s="14"/>
      <c r="E156" s="132"/>
      <c r="F156" s="100"/>
      <c r="G156" s="84"/>
      <c r="H156" s="102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22"/>
    </row>
    <row r="157" spans="2:24" x14ac:dyDescent="0.25">
      <c r="B157" s="247"/>
      <c r="C157" s="124">
        <f>C153</f>
        <v>1</v>
      </c>
      <c r="D157" s="14"/>
      <c r="E157" s="29"/>
      <c r="F157" s="100"/>
      <c r="G157" s="84"/>
      <c r="H157" s="102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22"/>
    </row>
    <row r="158" spans="2:24" x14ac:dyDescent="0.25">
      <c r="B158" s="247"/>
      <c r="C158" s="91"/>
      <c r="D158" s="14"/>
      <c r="E158" s="14"/>
      <c r="F158" s="103"/>
      <c r="G158" s="104"/>
      <c r="H158" s="105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22"/>
    </row>
    <row r="159" spans="2:24" ht="15.6" thickBot="1" x14ac:dyDescent="0.3">
      <c r="B159" s="141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6"/>
    </row>
    <row r="160" spans="2:24" x14ac:dyDescent="0.25">
      <c r="M160" s="2"/>
      <c r="N160" s="2"/>
      <c r="O160" s="2"/>
      <c r="P160" s="2"/>
      <c r="Q160" s="2"/>
      <c r="R160" s="2"/>
      <c r="S160" s="2"/>
    </row>
    <row r="161" spans="2:38" ht="15.6" thickBot="1" x14ac:dyDescent="0.3"/>
    <row r="162" spans="2:38" x14ac:dyDescent="0.25">
      <c r="B162" s="107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20"/>
      <c r="AE162" s="119" t="s">
        <v>2</v>
      </c>
      <c r="AF162" s="119" t="s">
        <v>85</v>
      </c>
      <c r="AG162" s="119" t="s">
        <v>87</v>
      </c>
      <c r="AH162" s="120" t="s">
        <v>103</v>
      </c>
      <c r="AI162" s="120" t="s">
        <v>104</v>
      </c>
      <c r="AJ162" s="120" t="s">
        <v>105</v>
      </c>
      <c r="AK162" s="120" t="s">
        <v>106</v>
      </c>
      <c r="AL162" s="120" t="s">
        <v>86</v>
      </c>
    </row>
    <row r="163" spans="2:38" x14ac:dyDescent="0.25">
      <c r="B163" s="247" t="s">
        <v>80</v>
      </c>
      <c r="C163" s="245">
        <v>1</v>
      </c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22"/>
      <c r="AE163" s="119"/>
      <c r="AF163" s="119"/>
      <c r="AG163" s="119"/>
      <c r="AH163" s="117"/>
      <c r="AI163" s="117"/>
      <c r="AJ163" s="117"/>
      <c r="AK163" s="117"/>
      <c r="AL163" s="117"/>
    </row>
    <row r="164" spans="2:38" x14ac:dyDescent="0.25">
      <c r="B164" s="247"/>
      <c r="C164" s="245"/>
      <c r="D164" s="10"/>
      <c r="E164" s="14"/>
      <c r="F164" s="14"/>
      <c r="G164" s="14"/>
      <c r="H164" s="14"/>
      <c r="I164" s="14"/>
      <c r="J164" s="14"/>
      <c r="K164" s="14"/>
      <c r="L164" s="14"/>
      <c r="M164" s="14"/>
      <c r="N164" s="13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22"/>
      <c r="AE164" s="119"/>
      <c r="AF164" s="119"/>
      <c r="AG164" s="119"/>
      <c r="AH164" s="117"/>
      <c r="AI164" s="117"/>
      <c r="AJ164" s="117"/>
      <c r="AK164" s="117"/>
      <c r="AL164" s="117"/>
    </row>
    <row r="165" spans="2:38" x14ac:dyDescent="0.25">
      <c r="B165" s="108"/>
      <c r="C165" s="14"/>
      <c r="D165" s="16"/>
      <c r="E165" s="14"/>
      <c r="F165" s="97"/>
      <c r="G165" s="98"/>
      <c r="H165" s="99"/>
      <c r="I165" s="14"/>
      <c r="J165" s="14"/>
      <c r="K165" s="14"/>
      <c r="L165" s="14"/>
      <c r="M165" s="14"/>
      <c r="N165" s="13"/>
      <c r="O165" s="11"/>
      <c r="P165" s="2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22"/>
      <c r="AE165" s="119"/>
      <c r="AF165" s="119"/>
      <c r="AG165" s="119"/>
      <c r="AH165" s="117"/>
      <c r="AI165" s="117"/>
      <c r="AJ165" s="117"/>
      <c r="AK165" s="117"/>
      <c r="AL165" s="117"/>
    </row>
    <row r="166" spans="2:38" x14ac:dyDescent="0.25">
      <c r="B166" s="108"/>
      <c r="C166" s="14"/>
      <c r="D166" s="16"/>
      <c r="E166" s="12"/>
      <c r="F166" s="100"/>
      <c r="G166" s="84">
        <v>1</v>
      </c>
      <c r="H166" s="102"/>
      <c r="I166" s="14"/>
      <c r="J166" s="14"/>
      <c r="K166" s="11"/>
      <c r="L166" s="11"/>
      <c r="M166" s="11"/>
      <c r="N166" s="17"/>
      <c r="O166" s="156" t="s">
        <v>80</v>
      </c>
      <c r="P166" s="144">
        <f>IF(C163=1,0,1)</f>
        <v>0</v>
      </c>
      <c r="Q166" s="97"/>
      <c r="R166" s="98"/>
      <c r="S166" s="99"/>
      <c r="T166" s="14"/>
      <c r="U166" s="14"/>
      <c r="V166" s="14"/>
      <c r="W166" s="14"/>
      <c r="X166" s="14"/>
      <c r="Y166" s="14"/>
      <c r="Z166" s="14"/>
      <c r="AA166" s="14"/>
      <c r="AB166" s="14"/>
      <c r="AC166" s="22"/>
      <c r="AE166" s="119"/>
      <c r="AF166" s="119"/>
      <c r="AG166" s="119"/>
      <c r="AH166" s="117"/>
      <c r="AI166" s="117"/>
      <c r="AJ166" s="117"/>
      <c r="AK166" s="117"/>
      <c r="AL166" s="117"/>
    </row>
    <row r="167" spans="2:38" x14ac:dyDescent="0.25">
      <c r="B167" s="108"/>
      <c r="C167" s="14"/>
      <c r="D167" s="14"/>
      <c r="E167" s="14"/>
      <c r="F167" s="100"/>
      <c r="G167" s="84"/>
      <c r="H167" s="102"/>
      <c r="I167" s="14"/>
      <c r="J167" s="9"/>
      <c r="K167" s="14"/>
      <c r="L167" s="14"/>
      <c r="M167" s="14"/>
      <c r="N167" s="13"/>
      <c r="O167" s="85"/>
      <c r="P167" s="148"/>
      <c r="Q167" s="100"/>
      <c r="R167" s="101" t="s">
        <v>76</v>
      </c>
      <c r="S167" s="102"/>
      <c r="T167" s="14"/>
      <c r="U167" s="14"/>
      <c r="V167" s="14"/>
      <c r="W167" s="14"/>
      <c r="X167" s="14"/>
      <c r="Y167" s="14"/>
      <c r="Z167" s="14"/>
      <c r="AA167" s="14"/>
      <c r="AB167" s="14"/>
      <c r="AC167" s="22"/>
      <c r="AE167" s="119"/>
      <c r="AF167" s="119"/>
      <c r="AG167" s="119"/>
      <c r="AH167" s="117"/>
      <c r="AI167" s="117"/>
      <c r="AJ167" s="117"/>
      <c r="AK167" s="117"/>
      <c r="AL167" s="117"/>
    </row>
    <row r="168" spans="2:38" x14ac:dyDescent="0.25">
      <c r="B168" s="108"/>
      <c r="C168" s="14"/>
      <c r="D168" s="14"/>
      <c r="E168" s="14"/>
      <c r="F168" s="103"/>
      <c r="G168" s="104"/>
      <c r="H168" s="105"/>
      <c r="I168" s="14"/>
      <c r="J168" s="14"/>
      <c r="K168" s="14"/>
      <c r="L168" s="14"/>
      <c r="M168" s="12"/>
      <c r="N168" s="17"/>
      <c r="O168" s="156" t="s">
        <v>79</v>
      </c>
      <c r="P168" s="144">
        <f>C173</f>
        <v>1</v>
      </c>
      <c r="Q168" s="100"/>
      <c r="R168" s="84"/>
      <c r="S168" s="102"/>
      <c r="T168" s="146">
        <f>P166*P168*P170</f>
        <v>0</v>
      </c>
      <c r="U168" s="159" t="s">
        <v>101</v>
      </c>
      <c r="V168" s="11"/>
      <c r="W168" s="14"/>
      <c r="X168" s="14"/>
      <c r="Y168" s="14"/>
      <c r="Z168" s="14"/>
      <c r="AA168" s="14"/>
      <c r="AB168" s="14"/>
      <c r="AC168" s="147"/>
      <c r="AE168" s="119"/>
      <c r="AF168" s="119"/>
      <c r="AG168" s="119"/>
      <c r="AH168" s="117"/>
      <c r="AI168" s="117"/>
      <c r="AJ168" s="117"/>
      <c r="AK168" s="117"/>
      <c r="AL168" s="117"/>
    </row>
    <row r="169" spans="2:38" x14ac:dyDescent="0.25">
      <c r="B169" s="108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31"/>
      <c r="N169" s="13"/>
      <c r="O169" s="85"/>
      <c r="P169" s="148"/>
      <c r="Q169" s="100"/>
      <c r="R169" s="84"/>
      <c r="S169" s="102"/>
      <c r="T169" s="14"/>
      <c r="U169" s="160"/>
      <c r="V169" s="14"/>
      <c r="W169" s="13"/>
      <c r="X169" s="14"/>
      <c r="Y169" s="14"/>
      <c r="Z169" s="14"/>
      <c r="AA169" s="14"/>
      <c r="AB169" s="14"/>
      <c r="AC169" s="22"/>
      <c r="AE169" s="119"/>
      <c r="AF169" s="119"/>
      <c r="AG169" s="119"/>
      <c r="AH169" s="117"/>
      <c r="AI169" s="117"/>
      <c r="AJ169" s="117"/>
      <c r="AK169" s="117"/>
      <c r="AL169" s="117"/>
    </row>
    <row r="170" spans="2:38" x14ac:dyDescent="0.25">
      <c r="B170" s="108"/>
      <c r="C170" s="14"/>
      <c r="D170" s="14"/>
      <c r="E170" s="14"/>
      <c r="F170" s="14"/>
      <c r="G170" s="14"/>
      <c r="H170" s="14"/>
      <c r="I170" s="14"/>
      <c r="J170" s="14"/>
      <c r="K170" s="14"/>
      <c r="L170" s="12"/>
      <c r="M170" s="29"/>
      <c r="N170" s="17"/>
      <c r="O170" s="156" t="s">
        <v>78</v>
      </c>
      <c r="P170" s="144">
        <f>C183</f>
        <v>1</v>
      </c>
      <c r="Q170" s="100"/>
      <c r="R170" s="84"/>
      <c r="S170" s="102"/>
      <c r="T170" s="14"/>
      <c r="U170" s="160"/>
      <c r="V170" s="14"/>
      <c r="W170" s="13"/>
      <c r="X170" s="14"/>
      <c r="Y170" s="14"/>
      <c r="Z170" s="14"/>
      <c r="AA170" s="14"/>
      <c r="AB170" s="14"/>
      <c r="AC170" s="22"/>
      <c r="AE170" s="119"/>
      <c r="AF170" s="119"/>
      <c r="AG170" s="119"/>
      <c r="AH170" s="117"/>
      <c r="AI170" s="117"/>
      <c r="AJ170" s="117"/>
      <c r="AK170" s="117"/>
      <c r="AL170" s="117"/>
    </row>
    <row r="171" spans="2:38" x14ac:dyDescent="0.25">
      <c r="B171" s="108"/>
      <c r="C171" s="14"/>
      <c r="D171" s="14"/>
      <c r="E171" s="14"/>
      <c r="F171" s="14"/>
      <c r="G171" s="14"/>
      <c r="H171" s="14"/>
      <c r="I171" s="14"/>
      <c r="J171" s="14"/>
      <c r="K171" s="16"/>
      <c r="L171" s="14"/>
      <c r="M171" s="132"/>
      <c r="N171" s="13"/>
      <c r="O171" s="85"/>
      <c r="P171" s="149"/>
      <c r="Q171" s="103"/>
      <c r="R171" s="104"/>
      <c r="S171" s="105"/>
      <c r="T171" s="14"/>
      <c r="U171" s="160"/>
      <c r="V171" s="14"/>
      <c r="W171" s="13"/>
      <c r="X171" s="14"/>
      <c r="Y171" s="14"/>
      <c r="Z171" s="14"/>
      <c r="AA171" s="14"/>
      <c r="AB171" s="14"/>
      <c r="AC171" s="22"/>
    </row>
    <row r="172" spans="2:38" x14ac:dyDescent="0.25">
      <c r="B172" s="108"/>
      <c r="C172" s="14"/>
      <c r="D172" s="14"/>
      <c r="E172" s="14"/>
      <c r="F172" s="14"/>
      <c r="G172" s="14"/>
      <c r="H172" s="14"/>
      <c r="I172" s="14"/>
      <c r="J172" s="14"/>
      <c r="K172" s="16"/>
      <c r="L172" s="14"/>
      <c r="M172" s="132"/>
      <c r="N172" s="13"/>
      <c r="O172" s="85"/>
      <c r="P172" s="149"/>
      <c r="Q172" s="14"/>
      <c r="R172" s="14"/>
      <c r="S172" s="14"/>
      <c r="T172" s="14"/>
      <c r="U172" s="160"/>
      <c r="V172" s="14"/>
      <c r="W172" s="13"/>
      <c r="X172" s="14"/>
      <c r="Y172" s="14"/>
      <c r="Z172" s="14"/>
      <c r="AA172" s="14"/>
      <c r="AB172" s="14"/>
      <c r="AC172" s="22"/>
    </row>
    <row r="173" spans="2:38" x14ac:dyDescent="0.25">
      <c r="B173" s="247" t="s">
        <v>79</v>
      </c>
      <c r="C173" s="245">
        <v>1</v>
      </c>
      <c r="D173" s="11"/>
      <c r="E173" s="11"/>
      <c r="F173" s="11"/>
      <c r="G173" s="11"/>
      <c r="H173" s="11"/>
      <c r="I173" s="11"/>
      <c r="J173" s="11"/>
      <c r="K173" s="12"/>
      <c r="L173" s="12"/>
      <c r="M173" s="132"/>
      <c r="N173" s="13"/>
      <c r="O173" s="85"/>
      <c r="P173" s="149"/>
      <c r="Q173" s="14"/>
      <c r="R173" s="14"/>
      <c r="S173" s="14"/>
      <c r="T173" s="14"/>
      <c r="U173" s="160"/>
      <c r="V173" s="14"/>
      <c r="W173" s="13"/>
      <c r="X173" s="14"/>
      <c r="Y173" s="14"/>
      <c r="Z173" s="14"/>
      <c r="AA173" s="14"/>
      <c r="AB173" s="14"/>
      <c r="AC173" s="22"/>
    </row>
    <row r="174" spans="2:38" x14ac:dyDescent="0.25">
      <c r="B174" s="247"/>
      <c r="C174" s="245"/>
      <c r="D174" s="10"/>
      <c r="E174" s="14"/>
      <c r="F174" s="14"/>
      <c r="G174" s="14"/>
      <c r="H174" s="14"/>
      <c r="I174" s="14"/>
      <c r="J174" s="14"/>
      <c r="K174" s="16"/>
      <c r="L174" s="14"/>
      <c r="M174" s="132"/>
      <c r="N174" s="17"/>
      <c r="O174" s="156" t="s">
        <v>80</v>
      </c>
      <c r="P174" s="144">
        <f>C163</f>
        <v>1</v>
      </c>
      <c r="Q174" s="97"/>
      <c r="R174" s="98"/>
      <c r="S174" s="99"/>
      <c r="T174" s="14"/>
      <c r="U174" s="160"/>
      <c r="V174" s="14"/>
      <c r="W174" s="13"/>
      <c r="X174" s="14"/>
      <c r="Y174" s="14"/>
      <c r="Z174" s="14"/>
      <c r="AA174" s="14"/>
      <c r="AB174" s="14"/>
      <c r="AC174" s="22"/>
    </row>
    <row r="175" spans="2:38" x14ac:dyDescent="0.25">
      <c r="B175" s="108"/>
      <c r="C175" s="14"/>
      <c r="D175" s="16"/>
      <c r="E175" s="14"/>
      <c r="F175" s="97"/>
      <c r="G175" s="98"/>
      <c r="H175" s="99"/>
      <c r="I175" s="14"/>
      <c r="J175" s="14"/>
      <c r="K175" s="16"/>
      <c r="L175" s="14"/>
      <c r="M175" s="132"/>
      <c r="N175" s="13"/>
      <c r="O175" s="158"/>
      <c r="P175" s="148"/>
      <c r="Q175" s="100"/>
      <c r="R175" s="101" t="s">
        <v>76</v>
      </c>
      <c r="S175" s="102"/>
      <c r="T175" s="14"/>
      <c r="U175" s="160"/>
      <c r="V175" s="14"/>
      <c r="W175" s="13"/>
      <c r="X175" s="14"/>
      <c r="Y175" s="14"/>
      <c r="Z175" s="14"/>
      <c r="AA175" s="14"/>
      <c r="AB175" s="14"/>
      <c r="AC175" s="22"/>
    </row>
    <row r="176" spans="2:38" x14ac:dyDescent="0.25">
      <c r="B176" s="108"/>
      <c r="C176" s="14"/>
      <c r="D176" s="16"/>
      <c r="E176" s="12"/>
      <c r="F176" s="100"/>
      <c r="G176" s="84">
        <v>1</v>
      </c>
      <c r="H176" s="102"/>
      <c r="I176" s="14"/>
      <c r="J176" s="14"/>
      <c r="K176" s="12"/>
      <c r="L176" s="11"/>
      <c r="M176" s="29"/>
      <c r="N176" s="17"/>
      <c r="O176" s="156" t="s">
        <v>79</v>
      </c>
      <c r="P176" s="144">
        <f>IF(C173=1,0,1)</f>
        <v>0</v>
      </c>
      <c r="Q176" s="100"/>
      <c r="R176" s="84"/>
      <c r="S176" s="102"/>
      <c r="T176" s="146">
        <f>P174*P176*P178</f>
        <v>0</v>
      </c>
      <c r="U176" s="159" t="s">
        <v>99</v>
      </c>
      <c r="V176" s="14"/>
      <c r="W176" s="13"/>
      <c r="X176" s="14"/>
      <c r="Y176" s="14"/>
      <c r="Z176" s="14"/>
      <c r="AA176" s="14"/>
      <c r="AB176" s="14"/>
      <c r="AC176" s="22"/>
    </row>
    <row r="177" spans="2:29" x14ac:dyDescent="0.25">
      <c r="B177" s="108"/>
      <c r="C177" s="14"/>
      <c r="D177" s="14"/>
      <c r="E177" s="14"/>
      <c r="F177" s="100"/>
      <c r="G177" s="84"/>
      <c r="H177" s="102"/>
      <c r="I177" s="14"/>
      <c r="J177" s="9"/>
      <c r="K177" s="16"/>
      <c r="L177" s="14"/>
      <c r="M177" s="132"/>
      <c r="N177" s="13"/>
      <c r="O177" s="85"/>
      <c r="P177" s="148"/>
      <c r="Q177" s="100"/>
      <c r="R177" s="84"/>
      <c r="S177" s="102"/>
      <c r="T177" s="14"/>
      <c r="U177" s="160"/>
      <c r="V177" s="13"/>
      <c r="W177" s="17"/>
      <c r="X177" s="97"/>
      <c r="Y177" s="98"/>
      <c r="Z177" s="99"/>
      <c r="AA177" s="14"/>
      <c r="AB177" s="14"/>
      <c r="AC177" s="22"/>
    </row>
    <row r="178" spans="2:29" x14ac:dyDescent="0.25">
      <c r="B178" s="108"/>
      <c r="C178" s="14"/>
      <c r="D178" s="14"/>
      <c r="E178" s="14"/>
      <c r="F178" s="103"/>
      <c r="G178" s="104"/>
      <c r="H178" s="105"/>
      <c r="I178" s="14"/>
      <c r="J178" s="14"/>
      <c r="K178" s="16"/>
      <c r="L178" s="11"/>
      <c r="M178" s="29"/>
      <c r="N178" s="17"/>
      <c r="O178" s="156" t="s">
        <v>78</v>
      </c>
      <c r="P178" s="144">
        <f>C183</f>
        <v>1</v>
      </c>
      <c r="Q178" s="100"/>
      <c r="R178" s="84"/>
      <c r="S178" s="102"/>
      <c r="T178" s="14"/>
      <c r="U178" s="160"/>
      <c r="V178" s="13"/>
      <c r="W178" s="14"/>
      <c r="X178" s="100"/>
      <c r="Y178" s="106" t="s">
        <v>77</v>
      </c>
      <c r="Z178" s="102"/>
      <c r="AA178" s="14"/>
      <c r="AB178" s="14"/>
      <c r="AC178" s="22"/>
    </row>
    <row r="179" spans="2:29" x14ac:dyDescent="0.25">
      <c r="B179" s="108"/>
      <c r="C179" s="14"/>
      <c r="D179" s="14"/>
      <c r="E179" s="14"/>
      <c r="F179" s="14"/>
      <c r="G179" s="14"/>
      <c r="H179" s="14"/>
      <c r="I179" s="14"/>
      <c r="J179" s="14"/>
      <c r="K179" s="16"/>
      <c r="L179" s="14"/>
      <c r="M179" s="132"/>
      <c r="N179" s="13"/>
      <c r="O179" s="85"/>
      <c r="P179" s="149"/>
      <c r="Q179" s="103"/>
      <c r="R179" s="104"/>
      <c r="S179" s="105"/>
      <c r="T179" s="14"/>
      <c r="U179" s="160"/>
      <c r="V179" s="17"/>
      <c r="W179" s="11"/>
      <c r="X179" s="100"/>
      <c r="Y179" s="84"/>
      <c r="Z179" s="102"/>
      <c r="AA179" s="14"/>
      <c r="AB179" s="14"/>
      <c r="AC179" s="22"/>
    </row>
    <row r="180" spans="2:29" x14ac:dyDescent="0.25">
      <c r="B180" s="108"/>
      <c r="C180" s="14"/>
      <c r="D180" s="14"/>
      <c r="E180" s="14"/>
      <c r="F180" s="14"/>
      <c r="G180" s="14"/>
      <c r="H180" s="14"/>
      <c r="I180" s="14"/>
      <c r="J180" s="14"/>
      <c r="K180" s="16"/>
      <c r="L180" s="14"/>
      <c r="M180" s="132"/>
      <c r="N180" s="13"/>
      <c r="O180" s="85"/>
      <c r="P180" s="149"/>
      <c r="Q180" s="14"/>
      <c r="R180" s="14"/>
      <c r="S180" s="14"/>
      <c r="T180" s="14"/>
      <c r="U180" s="160"/>
      <c r="V180" s="14"/>
      <c r="W180" s="14"/>
      <c r="X180" s="100"/>
      <c r="Y180" s="84"/>
      <c r="Z180" s="102"/>
      <c r="AA180" s="17"/>
      <c r="AB180" s="246">
        <f>IF((T168+T176+T184+T192)&gt;0,1,0)</f>
        <v>1</v>
      </c>
      <c r="AC180" s="244" t="s">
        <v>84</v>
      </c>
    </row>
    <row r="181" spans="2:29" x14ac:dyDescent="0.25">
      <c r="B181" s="108"/>
      <c r="C181" s="14"/>
      <c r="D181" s="14"/>
      <c r="E181" s="14"/>
      <c r="F181" s="14"/>
      <c r="G181" s="14"/>
      <c r="H181" s="14"/>
      <c r="I181" s="14"/>
      <c r="J181" s="14"/>
      <c r="K181" s="16"/>
      <c r="L181" s="14"/>
      <c r="M181" s="132"/>
      <c r="N181" s="13"/>
      <c r="O181" s="85"/>
      <c r="P181" s="149"/>
      <c r="Q181" s="14"/>
      <c r="R181" s="14"/>
      <c r="S181" s="14"/>
      <c r="T181" s="14"/>
      <c r="U181" s="160"/>
      <c r="V181" s="11"/>
      <c r="W181" s="11"/>
      <c r="X181" s="100"/>
      <c r="Y181" s="84"/>
      <c r="Z181" s="102"/>
      <c r="AA181" s="14"/>
      <c r="AB181" s="246"/>
      <c r="AC181" s="244"/>
    </row>
    <row r="182" spans="2:29" x14ac:dyDescent="0.25">
      <c r="B182" s="108"/>
      <c r="C182" s="2"/>
      <c r="D182" s="14"/>
      <c r="E182" s="14"/>
      <c r="F182" s="14"/>
      <c r="G182" s="14"/>
      <c r="H182" s="14"/>
      <c r="I182" s="14"/>
      <c r="J182" s="14"/>
      <c r="K182" s="16"/>
      <c r="L182" s="14"/>
      <c r="M182" s="132"/>
      <c r="N182" s="17"/>
      <c r="O182" s="156" t="s">
        <v>80</v>
      </c>
      <c r="P182" s="144">
        <f>C163</f>
        <v>1</v>
      </c>
      <c r="Q182" s="97"/>
      <c r="R182" s="98"/>
      <c r="S182" s="99"/>
      <c r="T182" s="14"/>
      <c r="U182" s="160"/>
      <c r="V182" s="13"/>
      <c r="W182" s="14"/>
      <c r="X182" s="100"/>
      <c r="Y182" s="84"/>
      <c r="Z182" s="102"/>
      <c r="AA182" s="14"/>
      <c r="AB182" s="14"/>
      <c r="AC182" s="22"/>
    </row>
    <row r="183" spans="2:29" x14ac:dyDescent="0.25">
      <c r="B183" s="247" t="s">
        <v>78</v>
      </c>
      <c r="C183" s="245">
        <v>1</v>
      </c>
      <c r="D183" s="11"/>
      <c r="E183" s="11"/>
      <c r="F183" s="11"/>
      <c r="G183" s="11"/>
      <c r="H183" s="11"/>
      <c r="I183" s="11"/>
      <c r="J183" s="11"/>
      <c r="K183" s="12"/>
      <c r="L183" s="14"/>
      <c r="M183" s="132"/>
      <c r="N183" s="13"/>
      <c r="O183" s="85"/>
      <c r="P183" s="148"/>
      <c r="Q183" s="100"/>
      <c r="R183" s="101" t="s">
        <v>76</v>
      </c>
      <c r="S183" s="102"/>
      <c r="T183" s="14"/>
      <c r="U183" s="160"/>
      <c r="V183" s="13"/>
      <c r="W183" s="11"/>
      <c r="X183" s="100"/>
      <c r="Y183" s="84"/>
      <c r="Z183" s="102"/>
      <c r="AA183" s="14"/>
      <c r="AB183" s="14"/>
      <c r="AC183" s="22"/>
    </row>
    <row r="184" spans="2:29" x14ac:dyDescent="0.25">
      <c r="B184" s="247"/>
      <c r="C184" s="245"/>
      <c r="D184" s="10"/>
      <c r="E184" s="14"/>
      <c r="F184" s="14"/>
      <c r="G184" s="14"/>
      <c r="H184" s="14"/>
      <c r="I184" s="14"/>
      <c r="J184" s="14"/>
      <c r="K184" s="16"/>
      <c r="L184" s="14"/>
      <c r="M184" s="29"/>
      <c r="N184" s="17"/>
      <c r="O184" s="156" t="s">
        <v>79</v>
      </c>
      <c r="P184" s="144">
        <f>C173</f>
        <v>1</v>
      </c>
      <c r="Q184" s="100"/>
      <c r="R184" s="84"/>
      <c r="S184" s="102"/>
      <c r="T184" s="146">
        <f>P182*P184*P186</f>
        <v>0</v>
      </c>
      <c r="U184" s="159" t="s">
        <v>102</v>
      </c>
      <c r="V184" s="136"/>
      <c r="W184" s="135"/>
      <c r="X184" s="103"/>
      <c r="Y184" s="104"/>
      <c r="Z184" s="105"/>
      <c r="AA184" s="14"/>
      <c r="AB184" s="14"/>
      <c r="AC184" s="22"/>
    </row>
    <row r="185" spans="2:29" x14ac:dyDescent="0.25">
      <c r="B185" s="108"/>
      <c r="C185" s="14"/>
      <c r="D185" s="16"/>
      <c r="E185" s="14"/>
      <c r="F185" s="97"/>
      <c r="G185" s="98"/>
      <c r="H185" s="99"/>
      <c r="I185" s="14"/>
      <c r="J185" s="14"/>
      <c r="K185" s="16"/>
      <c r="L185" s="14"/>
      <c r="M185" s="13"/>
      <c r="N185" s="13"/>
      <c r="O185" s="158"/>
      <c r="P185" s="148"/>
      <c r="Q185" s="100"/>
      <c r="R185" s="84"/>
      <c r="S185" s="102"/>
      <c r="T185" s="14"/>
      <c r="U185" s="14"/>
      <c r="V185" s="14"/>
      <c r="W185" s="13"/>
      <c r="X185" s="14"/>
      <c r="Y185" s="14"/>
      <c r="Z185" s="14"/>
      <c r="AA185" s="14"/>
      <c r="AB185" s="14"/>
      <c r="AC185" s="22"/>
    </row>
    <row r="186" spans="2:29" x14ac:dyDescent="0.25">
      <c r="B186" s="108"/>
      <c r="C186" s="14"/>
      <c r="D186" s="16"/>
      <c r="E186" s="12"/>
      <c r="F186" s="100"/>
      <c r="G186" s="84">
        <v>1</v>
      </c>
      <c r="H186" s="102"/>
      <c r="I186" s="14"/>
      <c r="J186" s="14"/>
      <c r="K186" s="12"/>
      <c r="L186" s="11"/>
      <c r="M186" s="17"/>
      <c r="N186" s="17"/>
      <c r="O186" s="156" t="s">
        <v>78</v>
      </c>
      <c r="P186" s="144">
        <f>IF(C183=1,0,1)</f>
        <v>0</v>
      </c>
      <c r="Q186" s="100"/>
      <c r="R186" s="84"/>
      <c r="S186" s="102"/>
      <c r="T186" s="14"/>
      <c r="U186" s="14"/>
      <c r="V186" s="14"/>
      <c r="W186" s="13"/>
      <c r="X186" s="14"/>
      <c r="Y186" s="14"/>
      <c r="Z186" s="14"/>
      <c r="AA186" s="14"/>
      <c r="AB186" s="14"/>
      <c r="AC186" s="22"/>
    </row>
    <row r="187" spans="2:29" x14ac:dyDescent="0.25">
      <c r="B187" s="108"/>
      <c r="C187" s="14"/>
      <c r="D187" s="14"/>
      <c r="E187" s="14"/>
      <c r="F187" s="100"/>
      <c r="G187" s="84"/>
      <c r="H187" s="102"/>
      <c r="I187" s="14"/>
      <c r="J187" s="9"/>
      <c r="K187" s="10"/>
      <c r="L187" s="14"/>
      <c r="M187" s="13"/>
      <c r="N187" s="13"/>
      <c r="O187" s="85"/>
      <c r="P187" s="149"/>
      <c r="Q187" s="103"/>
      <c r="R187" s="104"/>
      <c r="S187" s="105"/>
      <c r="T187" s="14"/>
      <c r="U187" s="14"/>
      <c r="V187" s="14"/>
      <c r="W187" s="13"/>
      <c r="X187" s="14"/>
      <c r="Y187" s="14"/>
      <c r="Z187" s="14"/>
      <c r="AA187" s="14"/>
      <c r="AB187" s="14"/>
      <c r="AC187" s="22"/>
    </row>
    <row r="188" spans="2:29" x14ac:dyDescent="0.25">
      <c r="B188" s="108"/>
      <c r="C188" s="14"/>
      <c r="D188" s="14"/>
      <c r="E188" s="14"/>
      <c r="F188" s="103"/>
      <c r="G188" s="104"/>
      <c r="H188" s="105"/>
      <c r="I188" s="14"/>
      <c r="J188" s="14"/>
      <c r="K188" s="16"/>
      <c r="L188" s="14"/>
      <c r="M188" s="13"/>
      <c r="N188" s="13"/>
      <c r="O188" s="85"/>
      <c r="P188" s="149"/>
      <c r="Q188" s="14"/>
      <c r="R188" s="14"/>
      <c r="S188" s="14"/>
      <c r="T188" s="14"/>
      <c r="U188" s="14"/>
      <c r="V188" s="14"/>
      <c r="W188" s="13"/>
      <c r="X188" s="14"/>
      <c r="Y188" s="14"/>
      <c r="Z188" s="14"/>
      <c r="AA188" s="14"/>
      <c r="AB188" s="14"/>
      <c r="AC188" s="22"/>
    </row>
    <row r="189" spans="2:29" x14ac:dyDescent="0.25">
      <c r="B189" s="108"/>
      <c r="C189" s="14"/>
      <c r="D189" s="14"/>
      <c r="E189" s="14"/>
      <c r="F189" s="14"/>
      <c r="G189" s="14"/>
      <c r="H189" s="14"/>
      <c r="I189" s="14"/>
      <c r="J189" s="14"/>
      <c r="K189" s="16"/>
      <c r="L189" s="14"/>
      <c r="M189" s="13"/>
      <c r="N189" s="13"/>
      <c r="O189" s="85"/>
      <c r="P189" s="149"/>
      <c r="Q189" s="14"/>
      <c r="R189" s="14"/>
      <c r="S189" s="14"/>
      <c r="T189" s="14"/>
      <c r="U189" s="14"/>
      <c r="V189" s="14"/>
      <c r="W189" s="13"/>
      <c r="X189" s="14"/>
      <c r="Y189" s="14"/>
      <c r="Z189" s="14"/>
      <c r="AA189" s="14"/>
      <c r="AB189" s="14"/>
      <c r="AC189" s="22"/>
    </row>
    <row r="190" spans="2:29" x14ac:dyDescent="0.25">
      <c r="B190" s="108"/>
      <c r="C190" s="14"/>
      <c r="D190" s="14"/>
      <c r="E190" s="14"/>
      <c r="F190" s="14"/>
      <c r="G190" s="14"/>
      <c r="H190" s="14"/>
      <c r="I190" s="14"/>
      <c r="J190" s="14"/>
      <c r="K190" s="16"/>
      <c r="L190" s="14"/>
      <c r="M190" s="13"/>
      <c r="N190" s="17"/>
      <c r="O190" s="156" t="s">
        <v>80</v>
      </c>
      <c r="P190" s="144">
        <f>C163</f>
        <v>1</v>
      </c>
      <c r="Q190" s="97"/>
      <c r="R190" s="98"/>
      <c r="S190" s="99"/>
      <c r="T190" s="14"/>
      <c r="U190" s="14"/>
      <c r="V190" s="14"/>
      <c r="W190" s="13"/>
      <c r="X190" s="14"/>
      <c r="Y190" s="14"/>
      <c r="Z190" s="14"/>
      <c r="AA190" s="14"/>
      <c r="AB190" s="14"/>
      <c r="AC190" s="22"/>
    </row>
    <row r="191" spans="2:29" x14ac:dyDescent="0.25">
      <c r="B191" s="108"/>
      <c r="C191" s="14"/>
      <c r="D191" s="14"/>
      <c r="E191" s="14"/>
      <c r="F191" s="14"/>
      <c r="G191" s="14"/>
      <c r="H191" s="14"/>
      <c r="I191" s="14"/>
      <c r="J191" s="14"/>
      <c r="K191" s="16"/>
      <c r="L191" s="14"/>
      <c r="M191" s="13"/>
      <c r="N191" s="14"/>
      <c r="O191" s="85"/>
      <c r="P191" s="148"/>
      <c r="Q191" s="100"/>
      <c r="R191" s="101" t="s">
        <v>76</v>
      </c>
      <c r="S191" s="102"/>
      <c r="T191" s="14"/>
      <c r="U191" s="14"/>
      <c r="V191" s="14"/>
      <c r="W191" s="13"/>
      <c r="X191" s="14"/>
      <c r="Y191" s="14"/>
      <c r="Z191" s="14"/>
      <c r="AA191" s="14"/>
      <c r="AB191" s="14"/>
      <c r="AC191" s="22"/>
    </row>
    <row r="192" spans="2:29" x14ac:dyDescent="0.25">
      <c r="B192" s="108"/>
      <c r="C192" s="14"/>
      <c r="D192" s="14"/>
      <c r="E192" s="14"/>
      <c r="F192" s="14"/>
      <c r="G192" s="14"/>
      <c r="H192" s="14"/>
      <c r="I192" s="14"/>
      <c r="J192" s="14"/>
      <c r="K192" s="16"/>
      <c r="L192" s="14"/>
      <c r="M192" s="17"/>
      <c r="N192" s="11"/>
      <c r="O192" s="156" t="s">
        <v>79</v>
      </c>
      <c r="P192" s="144">
        <f>C173</f>
        <v>1</v>
      </c>
      <c r="Q192" s="100"/>
      <c r="R192" s="84"/>
      <c r="S192" s="102"/>
      <c r="T192" s="146">
        <f>P190*P192*P194</f>
        <v>1</v>
      </c>
      <c r="U192" s="150" t="s">
        <v>100</v>
      </c>
      <c r="V192" s="11"/>
      <c r="W192" s="13"/>
      <c r="X192" s="14"/>
      <c r="Y192" s="14"/>
      <c r="Z192" s="14"/>
      <c r="AA192" s="14"/>
      <c r="AB192" s="14"/>
      <c r="AC192" s="22"/>
    </row>
    <row r="193" spans="1:29" x14ac:dyDescent="0.25">
      <c r="B193" s="108"/>
      <c r="C193" s="14"/>
      <c r="D193" s="14"/>
      <c r="E193" s="14"/>
      <c r="F193" s="14"/>
      <c r="G193" s="14"/>
      <c r="H193" s="14"/>
      <c r="I193" s="14"/>
      <c r="J193" s="14"/>
      <c r="K193" s="16"/>
      <c r="L193" s="14"/>
      <c r="M193" s="14"/>
      <c r="N193" s="14"/>
      <c r="O193" s="85"/>
      <c r="P193" s="148"/>
      <c r="Q193" s="100"/>
      <c r="R193" s="84"/>
      <c r="S193" s="102"/>
      <c r="T193" s="14"/>
      <c r="U193" s="14"/>
      <c r="V193" s="14"/>
      <c r="W193" s="14"/>
      <c r="X193" s="14"/>
      <c r="Y193" s="14"/>
      <c r="Z193" s="14"/>
      <c r="AA193" s="14"/>
      <c r="AB193" s="14"/>
      <c r="AC193" s="22"/>
    </row>
    <row r="194" spans="1:29" x14ac:dyDescent="0.25">
      <c r="B194" s="108"/>
      <c r="C194" s="14"/>
      <c r="D194" s="14"/>
      <c r="E194" s="14"/>
      <c r="F194" s="14"/>
      <c r="G194" s="14"/>
      <c r="H194" s="14"/>
      <c r="I194" s="14"/>
      <c r="J194" s="14"/>
      <c r="K194" s="16"/>
      <c r="L194" s="11"/>
      <c r="M194" s="11"/>
      <c r="N194" s="11"/>
      <c r="O194" s="156" t="s">
        <v>78</v>
      </c>
      <c r="P194" s="144">
        <f>C183</f>
        <v>1</v>
      </c>
      <c r="Q194" s="100"/>
      <c r="R194" s="84"/>
      <c r="S194" s="102"/>
      <c r="T194" s="14"/>
      <c r="U194" s="14"/>
      <c r="V194" s="14"/>
      <c r="W194" s="14"/>
      <c r="X194" s="14"/>
      <c r="Y194" s="14"/>
      <c r="Z194" s="14"/>
      <c r="AA194" s="14"/>
      <c r="AB194" s="14"/>
      <c r="AC194" s="22"/>
    </row>
    <row r="195" spans="1:29" x14ac:dyDescent="0.25">
      <c r="B195" s="108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03"/>
      <c r="R195" s="104"/>
      <c r="S195" s="105"/>
      <c r="T195" s="14"/>
      <c r="U195" s="14"/>
      <c r="V195" s="14"/>
      <c r="W195" s="14"/>
      <c r="X195" s="14"/>
      <c r="Y195" s="14"/>
      <c r="Z195" s="14"/>
      <c r="AA195" s="14"/>
      <c r="AB195" s="14"/>
      <c r="AC195" s="22"/>
    </row>
    <row r="196" spans="1:29" ht="15.6" thickBot="1" x14ac:dyDescent="0.3">
      <c r="B196" s="109"/>
      <c r="C196" s="83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6"/>
    </row>
    <row r="198" spans="1:29" ht="15.6" thickBot="1" x14ac:dyDescent="0.3"/>
    <row r="199" spans="1:29" x14ac:dyDescent="0.25">
      <c r="B199" s="107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20"/>
      <c r="S199" s="119" t="s">
        <v>2</v>
      </c>
      <c r="T199" s="119" t="s">
        <v>85</v>
      </c>
      <c r="U199" s="119" t="s">
        <v>87</v>
      </c>
      <c r="V199" s="120" t="s">
        <v>112</v>
      </c>
      <c r="W199" s="120" t="s">
        <v>108</v>
      </c>
      <c r="X199" s="120" t="s">
        <v>110</v>
      </c>
      <c r="Y199" s="120" t="s">
        <v>88</v>
      </c>
    </row>
    <row r="200" spans="1:29" x14ac:dyDescent="0.25">
      <c r="A200" s="2"/>
      <c r="B200" s="247" t="s">
        <v>80</v>
      </c>
      <c r="C200" s="245">
        <v>0</v>
      </c>
      <c r="D200" s="89"/>
      <c r="E200" s="11"/>
      <c r="F200" s="11"/>
      <c r="G200" s="97"/>
      <c r="H200" s="98"/>
      <c r="I200" s="99"/>
      <c r="J200" s="14"/>
      <c r="K200" s="14"/>
      <c r="L200" s="14"/>
      <c r="M200" s="14"/>
      <c r="N200" s="14"/>
      <c r="O200" s="14"/>
      <c r="P200" s="14"/>
      <c r="Q200" s="22"/>
      <c r="S200" s="119"/>
      <c r="T200" s="119"/>
      <c r="U200" s="119"/>
      <c r="V200" s="118"/>
      <c r="W200" s="118"/>
      <c r="X200" s="118"/>
      <c r="Y200" s="118"/>
    </row>
    <row r="201" spans="1:29" x14ac:dyDescent="0.25">
      <c r="A201" s="2"/>
      <c r="B201" s="247"/>
      <c r="C201" s="245"/>
      <c r="D201" s="2"/>
      <c r="E201" s="8"/>
      <c r="F201" s="14"/>
      <c r="G201" s="100"/>
      <c r="H201" s="101" t="s">
        <v>76</v>
      </c>
      <c r="I201" s="102"/>
      <c r="J201" s="14"/>
      <c r="K201" s="14"/>
      <c r="L201" s="14"/>
      <c r="M201" s="14"/>
      <c r="N201" s="14"/>
      <c r="O201" s="14"/>
      <c r="P201" s="14"/>
      <c r="Q201" s="22"/>
      <c r="S201" s="119"/>
      <c r="T201" s="119"/>
      <c r="U201" s="119"/>
      <c r="V201" s="118"/>
      <c r="W201" s="118"/>
      <c r="X201" s="118"/>
      <c r="Y201" s="118"/>
    </row>
    <row r="202" spans="1:29" x14ac:dyDescent="0.25">
      <c r="A202" s="2"/>
      <c r="B202" s="108"/>
      <c r="C202" s="80"/>
      <c r="D202" s="14"/>
      <c r="E202" s="13"/>
      <c r="F202" s="14"/>
      <c r="G202" s="100"/>
      <c r="H202" s="84"/>
      <c r="I202" s="102"/>
      <c r="J202" s="157" t="s">
        <v>107</v>
      </c>
      <c r="K202" s="14"/>
      <c r="L202" s="14"/>
      <c r="M202" s="14"/>
      <c r="N202" s="14"/>
      <c r="O202" s="14"/>
      <c r="P202" s="14"/>
      <c r="Q202" s="22"/>
      <c r="S202" s="119"/>
      <c r="T202" s="119"/>
      <c r="U202" s="119"/>
      <c r="V202" s="118"/>
      <c r="W202" s="118"/>
      <c r="X202" s="118"/>
      <c r="Y202" s="118"/>
    </row>
    <row r="203" spans="1:29" x14ac:dyDescent="0.25">
      <c r="A203" s="2"/>
      <c r="B203" s="108"/>
      <c r="C203" s="14"/>
      <c r="D203" s="14"/>
      <c r="E203" s="13"/>
      <c r="F203" s="14"/>
      <c r="G203" s="100"/>
      <c r="H203" s="84"/>
      <c r="I203" s="102"/>
      <c r="J203" s="14"/>
      <c r="K203" s="13"/>
      <c r="L203" s="14"/>
      <c r="M203" s="14"/>
      <c r="N203" s="14"/>
      <c r="O203" s="14"/>
      <c r="P203" s="14"/>
      <c r="Q203" s="22"/>
      <c r="S203" s="119"/>
      <c r="T203" s="119"/>
      <c r="U203" s="119"/>
      <c r="V203" s="118"/>
      <c r="W203" s="118"/>
      <c r="X203" s="118"/>
      <c r="Y203" s="118"/>
    </row>
    <row r="204" spans="1:29" x14ac:dyDescent="0.25">
      <c r="A204" s="2"/>
      <c r="B204" s="130"/>
      <c r="C204" s="90"/>
      <c r="D204" s="14"/>
      <c r="E204" s="13"/>
      <c r="F204" s="11"/>
      <c r="G204" s="100"/>
      <c r="H204" s="84"/>
      <c r="I204" s="102"/>
      <c r="J204" s="14"/>
      <c r="K204" s="13"/>
      <c r="L204" s="14"/>
      <c r="M204" s="14"/>
      <c r="N204" s="14"/>
      <c r="O204" s="14"/>
      <c r="P204" s="14"/>
      <c r="Q204" s="22"/>
      <c r="S204" s="119"/>
      <c r="T204" s="119"/>
      <c r="U204" s="119"/>
      <c r="V204" s="118"/>
      <c r="W204" s="118"/>
      <c r="X204" s="118"/>
      <c r="Y204" s="118"/>
    </row>
    <row r="205" spans="1:29" x14ac:dyDescent="0.25">
      <c r="A205" s="2"/>
      <c r="B205" s="130"/>
      <c r="C205" s="90"/>
      <c r="D205" s="14"/>
      <c r="E205" s="132"/>
      <c r="F205" s="14"/>
      <c r="G205" s="103"/>
      <c r="H205" s="104"/>
      <c r="I205" s="105"/>
      <c r="J205" s="14"/>
      <c r="K205" s="13"/>
      <c r="L205" s="14"/>
      <c r="M205" s="14"/>
      <c r="N205" s="14"/>
      <c r="O205" s="14"/>
      <c r="P205" s="14"/>
      <c r="Q205" s="22"/>
      <c r="S205" s="119"/>
      <c r="T205" s="119"/>
      <c r="U205" s="119"/>
      <c r="V205" s="118"/>
      <c r="W205" s="118"/>
      <c r="X205" s="118"/>
      <c r="Y205" s="118"/>
    </row>
    <row r="206" spans="1:29" x14ac:dyDescent="0.25">
      <c r="B206" s="108"/>
      <c r="C206" s="14"/>
      <c r="D206" s="14"/>
      <c r="E206" s="132"/>
      <c r="F206" s="14"/>
      <c r="G206" s="14"/>
      <c r="H206" s="14"/>
      <c r="I206" s="14"/>
      <c r="J206" s="14"/>
      <c r="K206" s="13"/>
      <c r="L206" s="14"/>
      <c r="M206" s="14"/>
      <c r="N206" s="14"/>
      <c r="O206" s="14"/>
      <c r="P206" s="14"/>
      <c r="Q206" s="22"/>
      <c r="S206" s="119"/>
      <c r="T206" s="119"/>
      <c r="U206" s="119"/>
      <c r="V206" s="118"/>
      <c r="W206" s="118"/>
      <c r="X206" s="118"/>
      <c r="Y206" s="118"/>
    </row>
    <row r="207" spans="1:29" x14ac:dyDescent="0.25">
      <c r="B207" s="108"/>
      <c r="C207" s="14"/>
      <c r="D207" s="14"/>
      <c r="E207" s="132"/>
      <c r="F207" s="14"/>
      <c r="G207" s="14"/>
      <c r="H207" s="14"/>
      <c r="I207" s="14"/>
      <c r="J207" s="14"/>
      <c r="K207" s="136"/>
      <c r="L207" s="97"/>
      <c r="M207" s="98"/>
      <c r="N207" s="99"/>
      <c r="O207" s="14"/>
      <c r="P207" s="14"/>
      <c r="Q207" s="22"/>
      <c r="S207" s="119"/>
      <c r="T207" s="119"/>
      <c r="U207" s="119"/>
      <c r="V207" s="118"/>
      <c r="W207" s="118"/>
      <c r="X207" s="118"/>
      <c r="Y207" s="118"/>
    </row>
    <row r="208" spans="1:29" x14ac:dyDescent="0.25">
      <c r="B208" s="247" t="s">
        <v>79</v>
      </c>
      <c r="C208" s="245">
        <v>0</v>
      </c>
      <c r="D208" s="145"/>
      <c r="E208" s="142"/>
      <c r="F208" s="137"/>
      <c r="G208" s="97"/>
      <c r="H208" s="98"/>
      <c r="I208" s="99"/>
      <c r="J208" s="14"/>
      <c r="K208" s="152">
        <f>C200*C208</f>
        <v>0</v>
      </c>
      <c r="L208" s="100"/>
      <c r="M208" s="106" t="s">
        <v>77</v>
      </c>
      <c r="N208" s="102"/>
      <c r="O208" s="14"/>
      <c r="P208" s="14"/>
      <c r="Q208" s="22"/>
    </row>
    <row r="209" spans="2:17" x14ac:dyDescent="0.25">
      <c r="B209" s="247"/>
      <c r="C209" s="245"/>
      <c r="D209" s="7"/>
      <c r="E209" s="136"/>
      <c r="F209" s="2"/>
      <c r="G209" s="100"/>
      <c r="H209" s="101" t="s">
        <v>76</v>
      </c>
      <c r="I209" s="102"/>
      <c r="J209" s="14"/>
      <c r="K209" s="2"/>
      <c r="L209" s="100"/>
      <c r="M209" s="84"/>
      <c r="N209" s="102"/>
      <c r="O209" s="14"/>
      <c r="P209" s="14"/>
      <c r="Q209" s="22"/>
    </row>
    <row r="210" spans="2:17" x14ac:dyDescent="0.25">
      <c r="B210" s="108"/>
      <c r="C210" s="14"/>
      <c r="D210" s="14"/>
      <c r="E210" s="13"/>
      <c r="F210" s="14"/>
      <c r="G210" s="100"/>
      <c r="H210" s="84"/>
      <c r="I210" s="102"/>
      <c r="J210" s="157" t="s">
        <v>109</v>
      </c>
      <c r="K210" s="153">
        <f>C208*C220</f>
        <v>0</v>
      </c>
      <c r="L210" s="100"/>
      <c r="M210" s="84"/>
      <c r="N210" s="102"/>
      <c r="O210" s="17"/>
      <c r="P210" s="246">
        <f>IF((K208+K210+K212)&gt;0,1,0)</f>
        <v>0</v>
      </c>
      <c r="Q210" s="244" t="s">
        <v>113</v>
      </c>
    </row>
    <row r="211" spans="2:17" x14ac:dyDescent="0.25">
      <c r="B211" s="108"/>
      <c r="C211" s="14"/>
      <c r="D211" s="14"/>
      <c r="E211" s="13"/>
      <c r="F211" s="14"/>
      <c r="G211" s="100"/>
      <c r="H211" s="84"/>
      <c r="I211" s="102"/>
      <c r="J211" s="14"/>
      <c r="K211" s="2"/>
      <c r="L211" s="100"/>
      <c r="M211" s="84"/>
      <c r="N211" s="102"/>
      <c r="O211" s="2"/>
      <c r="P211" s="246"/>
      <c r="Q211" s="244"/>
    </row>
    <row r="212" spans="2:17" x14ac:dyDescent="0.25">
      <c r="B212" s="108"/>
      <c r="C212" s="14"/>
      <c r="D212" s="14"/>
      <c r="E212" s="13"/>
      <c r="F212" s="11"/>
      <c r="G212" s="100"/>
      <c r="H212" s="84"/>
      <c r="I212" s="102"/>
      <c r="J212" s="14"/>
      <c r="K212" s="153">
        <f>C200*C220</f>
        <v>0</v>
      </c>
      <c r="L212" s="100"/>
      <c r="M212" s="84"/>
      <c r="N212" s="102"/>
      <c r="O212" s="14"/>
      <c r="P212" s="14"/>
      <c r="Q212" s="22"/>
    </row>
    <row r="213" spans="2:17" x14ac:dyDescent="0.25">
      <c r="B213" s="108"/>
      <c r="C213" s="14"/>
      <c r="D213" s="14"/>
      <c r="E213" s="132"/>
      <c r="F213" s="14"/>
      <c r="G213" s="103"/>
      <c r="H213" s="104"/>
      <c r="I213" s="105"/>
      <c r="J213" s="14"/>
      <c r="K213" s="13"/>
      <c r="L213" s="100"/>
      <c r="M213" s="84"/>
      <c r="N213" s="102"/>
      <c r="O213" s="14"/>
      <c r="P213" s="14"/>
      <c r="Q213" s="22"/>
    </row>
    <row r="214" spans="2:17" x14ac:dyDescent="0.25">
      <c r="B214" s="108"/>
      <c r="C214" s="14"/>
      <c r="D214" s="14"/>
      <c r="E214" s="132"/>
      <c r="F214" s="14"/>
      <c r="G214" s="14"/>
      <c r="H214" s="14"/>
      <c r="I214" s="14"/>
      <c r="J214" s="14"/>
      <c r="K214" s="136"/>
      <c r="L214" s="103"/>
      <c r="M214" s="104"/>
      <c r="N214" s="105"/>
      <c r="O214" s="14"/>
      <c r="P214" s="14"/>
      <c r="Q214" s="22"/>
    </row>
    <row r="215" spans="2:17" x14ac:dyDescent="0.25">
      <c r="B215" s="108"/>
      <c r="C215" s="14"/>
      <c r="D215" s="14"/>
      <c r="E215" s="132"/>
      <c r="F215" s="14"/>
      <c r="G215" s="14"/>
      <c r="H215" s="14"/>
      <c r="I215" s="14"/>
      <c r="J215" s="14"/>
      <c r="K215" s="13"/>
      <c r="L215" s="14"/>
      <c r="M215" s="14"/>
      <c r="N215" s="14"/>
      <c r="O215" s="14"/>
      <c r="P215" s="14"/>
      <c r="Q215" s="22"/>
    </row>
    <row r="216" spans="2:17" x14ac:dyDescent="0.25">
      <c r="B216" s="108"/>
      <c r="C216" s="14"/>
      <c r="D216" s="14"/>
      <c r="E216" s="29"/>
      <c r="F216" s="11"/>
      <c r="G216" s="97"/>
      <c r="H216" s="98"/>
      <c r="I216" s="99"/>
      <c r="J216" s="14"/>
      <c r="K216" s="13"/>
      <c r="L216" s="14"/>
      <c r="M216" s="14"/>
      <c r="N216" s="14"/>
      <c r="O216" s="14"/>
      <c r="P216" s="14"/>
      <c r="Q216" s="22"/>
    </row>
    <row r="217" spans="2:17" x14ac:dyDescent="0.25">
      <c r="B217" s="108"/>
      <c r="C217" s="14"/>
      <c r="D217" s="14"/>
      <c r="E217" s="16"/>
      <c r="F217" s="14"/>
      <c r="G217" s="100"/>
      <c r="H217" s="101" t="s">
        <v>76</v>
      </c>
      <c r="I217" s="102"/>
      <c r="J217" s="14"/>
      <c r="K217" s="13"/>
      <c r="L217" s="14"/>
      <c r="M217" s="14"/>
      <c r="N217" s="14"/>
      <c r="O217" s="14"/>
      <c r="P217" s="14"/>
      <c r="Q217" s="22"/>
    </row>
    <row r="218" spans="2:17" x14ac:dyDescent="0.25">
      <c r="B218" s="108"/>
      <c r="C218" s="14"/>
      <c r="D218" s="14"/>
      <c r="E218" s="16"/>
      <c r="F218" s="14"/>
      <c r="G218" s="100"/>
      <c r="H218" s="84"/>
      <c r="I218" s="102"/>
      <c r="J218" s="157" t="s">
        <v>111</v>
      </c>
      <c r="K218" s="13"/>
      <c r="L218" s="14"/>
      <c r="M218" s="14"/>
      <c r="N218" s="14"/>
      <c r="O218" s="14"/>
      <c r="P218" s="14"/>
      <c r="Q218" s="22"/>
    </row>
    <row r="219" spans="2:17" x14ac:dyDescent="0.25">
      <c r="B219" s="108"/>
      <c r="C219" s="14"/>
      <c r="D219" s="14"/>
      <c r="E219" s="16"/>
      <c r="F219" s="14"/>
      <c r="G219" s="100"/>
      <c r="H219" s="84"/>
      <c r="I219" s="102"/>
      <c r="J219" s="14"/>
      <c r="K219" s="14"/>
      <c r="L219" s="14"/>
      <c r="M219" s="14"/>
      <c r="N219" s="14"/>
      <c r="O219" s="14"/>
      <c r="P219" s="14"/>
      <c r="Q219" s="22"/>
    </row>
    <row r="220" spans="2:17" x14ac:dyDescent="0.25">
      <c r="B220" s="247" t="s">
        <v>78</v>
      </c>
      <c r="C220" s="245">
        <v>0</v>
      </c>
      <c r="D220" s="89"/>
      <c r="E220" s="137"/>
      <c r="F220" s="145"/>
      <c r="G220" s="100"/>
      <c r="H220" s="84"/>
      <c r="I220" s="102"/>
      <c r="J220" s="14"/>
      <c r="K220" s="14"/>
      <c r="L220" s="14"/>
      <c r="M220" s="14"/>
      <c r="N220" s="14"/>
      <c r="O220" s="14"/>
      <c r="P220" s="14"/>
      <c r="Q220" s="22"/>
    </row>
    <row r="221" spans="2:17" x14ac:dyDescent="0.25">
      <c r="B221" s="247"/>
      <c r="C221" s="245"/>
      <c r="D221" s="2"/>
      <c r="E221" s="2"/>
      <c r="F221" s="7"/>
      <c r="G221" s="103"/>
      <c r="H221" s="104"/>
      <c r="I221" s="105"/>
      <c r="J221" s="14"/>
      <c r="K221" s="14"/>
      <c r="L221" s="14"/>
      <c r="M221" s="14"/>
      <c r="N221" s="14"/>
      <c r="O221" s="14"/>
      <c r="P221" s="14"/>
      <c r="Q221" s="22"/>
    </row>
    <row r="222" spans="2:17" ht="15.6" thickBot="1" x14ac:dyDescent="0.3">
      <c r="B222" s="109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6"/>
    </row>
    <row r="224" spans="2:17" ht="15.6" thickBot="1" x14ac:dyDescent="0.3">
      <c r="B224" s="154"/>
      <c r="C224" s="2"/>
      <c r="D224" s="2"/>
      <c r="E224" s="2"/>
      <c r="F224" s="2"/>
      <c r="G224" s="2"/>
      <c r="H224" s="2"/>
      <c r="I224" s="2"/>
    </row>
    <row r="225" spans="2:28" x14ac:dyDescent="0.25">
      <c r="B225" s="107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20"/>
      <c r="V225" s="119" t="s">
        <v>2</v>
      </c>
      <c r="W225" s="119" t="s">
        <v>85</v>
      </c>
      <c r="X225" s="119" t="s">
        <v>87</v>
      </c>
      <c r="Y225" s="120" t="s">
        <v>112</v>
      </c>
      <c r="Z225" s="120" t="s">
        <v>108</v>
      </c>
      <c r="AA225" s="120" t="s">
        <v>110</v>
      </c>
      <c r="AB225" s="120" t="s">
        <v>88</v>
      </c>
    </row>
    <row r="226" spans="2:28" x14ac:dyDescent="0.25">
      <c r="B226" s="247" t="s">
        <v>80</v>
      </c>
      <c r="C226" s="245">
        <v>1</v>
      </c>
      <c r="D226" s="89"/>
      <c r="E226" s="11"/>
      <c r="F226" s="11"/>
      <c r="G226" s="97"/>
      <c r="H226" s="98"/>
      <c r="I226" s="99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22"/>
      <c r="V226" s="119"/>
      <c r="W226" s="119"/>
      <c r="X226" s="119"/>
      <c r="Y226" s="117"/>
      <c r="Z226" s="117"/>
      <c r="AA226" s="117"/>
      <c r="AB226" s="117"/>
    </row>
    <row r="227" spans="2:28" x14ac:dyDescent="0.25">
      <c r="B227" s="247"/>
      <c r="C227" s="245"/>
      <c r="D227" s="2"/>
      <c r="E227" s="8"/>
      <c r="F227" s="14"/>
      <c r="G227" s="100"/>
      <c r="H227" s="101" t="s">
        <v>76</v>
      </c>
      <c r="I227" s="102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22"/>
      <c r="V227" s="119"/>
      <c r="W227" s="119"/>
      <c r="X227" s="119"/>
      <c r="Y227" s="117"/>
      <c r="Z227" s="117"/>
      <c r="AA227" s="117"/>
      <c r="AB227" s="117"/>
    </row>
    <row r="228" spans="2:28" x14ac:dyDescent="0.25">
      <c r="B228" s="108"/>
      <c r="C228" s="80"/>
      <c r="D228" s="14"/>
      <c r="E228" s="13"/>
      <c r="F228" s="14"/>
      <c r="G228" s="100"/>
      <c r="H228" s="84"/>
      <c r="I228" s="102"/>
      <c r="J228" s="14"/>
      <c r="K228" s="156" t="s">
        <v>107</v>
      </c>
      <c r="L228" s="155">
        <f>IF((C226*C234)=1,0,1)</f>
        <v>1</v>
      </c>
      <c r="M228" s="14"/>
      <c r="N228" s="14"/>
      <c r="O228" s="14"/>
      <c r="P228" s="14"/>
      <c r="Q228" s="14"/>
      <c r="R228" s="14"/>
      <c r="S228" s="14"/>
      <c r="T228" s="22"/>
      <c r="V228" s="119"/>
      <c r="W228" s="119"/>
      <c r="X228" s="119"/>
      <c r="Y228" s="117"/>
      <c r="Z228" s="117"/>
      <c r="AA228" s="117"/>
      <c r="AB228" s="117"/>
    </row>
    <row r="229" spans="2:28" x14ac:dyDescent="0.25">
      <c r="B229" s="108"/>
      <c r="C229" s="14"/>
      <c r="D229" s="14"/>
      <c r="E229" s="13"/>
      <c r="F229" s="14"/>
      <c r="G229" s="100"/>
      <c r="H229" s="84"/>
      <c r="I229" s="102"/>
      <c r="J229" s="14"/>
      <c r="K229" s="14"/>
      <c r="L229" s="134"/>
      <c r="M229" s="13"/>
      <c r="N229" s="14"/>
      <c r="O229" s="14"/>
      <c r="P229" s="14"/>
      <c r="Q229" s="14"/>
      <c r="R229" s="14"/>
      <c r="S229" s="14"/>
      <c r="T229" s="22"/>
      <c r="V229" s="119"/>
      <c r="W229" s="119"/>
      <c r="X229" s="119"/>
      <c r="Y229" s="117"/>
      <c r="Z229" s="117"/>
      <c r="AA229" s="117"/>
      <c r="AB229" s="117"/>
    </row>
    <row r="230" spans="2:28" x14ac:dyDescent="0.25">
      <c r="B230" s="130"/>
      <c r="C230" s="90"/>
      <c r="D230" s="14"/>
      <c r="E230" s="13"/>
      <c r="F230" s="11"/>
      <c r="G230" s="100"/>
      <c r="H230" s="84"/>
      <c r="I230" s="102"/>
      <c r="J230" s="14"/>
      <c r="K230" s="14"/>
      <c r="L230" s="14"/>
      <c r="M230" s="13"/>
      <c r="N230" s="14"/>
      <c r="O230" s="14"/>
      <c r="P230" s="14"/>
      <c r="Q230" s="14"/>
      <c r="R230" s="14"/>
      <c r="S230" s="14"/>
      <c r="T230" s="22"/>
      <c r="V230" s="119"/>
      <c r="W230" s="119"/>
      <c r="X230" s="119"/>
      <c r="Y230" s="117"/>
      <c r="Z230" s="117"/>
      <c r="AA230" s="117"/>
      <c r="AB230" s="117"/>
    </row>
    <row r="231" spans="2:28" x14ac:dyDescent="0.25">
      <c r="B231" s="130"/>
      <c r="C231" s="90"/>
      <c r="D231" s="14"/>
      <c r="E231" s="132"/>
      <c r="F231" s="14"/>
      <c r="G231" s="103"/>
      <c r="H231" s="104"/>
      <c r="I231" s="105"/>
      <c r="J231" s="14"/>
      <c r="K231" s="14"/>
      <c r="L231" s="14"/>
      <c r="M231" s="13"/>
      <c r="N231" s="14"/>
      <c r="O231" s="14"/>
      <c r="P231" s="14"/>
      <c r="Q231" s="14"/>
      <c r="R231" s="14"/>
      <c r="S231" s="14"/>
      <c r="T231" s="22"/>
      <c r="V231" s="119"/>
      <c r="W231" s="119"/>
      <c r="X231" s="119"/>
      <c r="Y231" s="117"/>
      <c r="Z231" s="117"/>
      <c r="AA231" s="117"/>
      <c r="AB231" s="117"/>
    </row>
    <row r="232" spans="2:28" x14ac:dyDescent="0.25">
      <c r="B232" s="108"/>
      <c r="C232" s="14"/>
      <c r="D232" s="14"/>
      <c r="E232" s="132"/>
      <c r="F232" s="14"/>
      <c r="G232" s="14"/>
      <c r="H232" s="14"/>
      <c r="I232" s="14"/>
      <c r="J232" s="14"/>
      <c r="K232" s="14"/>
      <c r="L232" s="14"/>
      <c r="M232" s="13"/>
      <c r="N232" s="14"/>
      <c r="O232" s="14"/>
      <c r="P232" s="14"/>
      <c r="Q232" s="14"/>
      <c r="R232" s="14"/>
      <c r="S232" s="14"/>
      <c r="T232" s="22"/>
      <c r="V232" s="119"/>
      <c r="W232" s="119"/>
      <c r="X232" s="119"/>
      <c r="Y232" s="117"/>
      <c r="Z232" s="117"/>
      <c r="AA232" s="117"/>
      <c r="AB232" s="117"/>
    </row>
    <row r="233" spans="2:28" x14ac:dyDescent="0.25">
      <c r="B233" s="108"/>
      <c r="C233" s="14"/>
      <c r="D233" s="14"/>
      <c r="E233" s="132"/>
      <c r="F233" s="13"/>
      <c r="G233" s="14"/>
      <c r="H233" s="14"/>
      <c r="I233" s="14"/>
      <c r="J233" s="14"/>
      <c r="K233" s="14"/>
      <c r="L233" s="14"/>
      <c r="M233" s="13"/>
      <c r="N233" s="97"/>
      <c r="O233" s="98"/>
      <c r="P233" s="99"/>
      <c r="Q233" s="14"/>
      <c r="R233" s="14"/>
      <c r="S233" s="14"/>
      <c r="T233" s="22"/>
      <c r="V233" s="119"/>
      <c r="W233" s="119"/>
      <c r="X233" s="119"/>
      <c r="Y233" s="117"/>
      <c r="Z233" s="117"/>
      <c r="AA233" s="117"/>
      <c r="AB233" s="117"/>
    </row>
    <row r="234" spans="2:28" x14ac:dyDescent="0.25">
      <c r="B234" s="247" t="s">
        <v>79</v>
      </c>
      <c r="C234" s="245">
        <v>0</v>
      </c>
      <c r="D234" s="89"/>
      <c r="E234" s="29"/>
      <c r="F234" s="17"/>
      <c r="G234" s="97"/>
      <c r="H234" s="98"/>
      <c r="I234" s="99"/>
      <c r="J234" s="14"/>
      <c r="K234" s="14"/>
      <c r="L234" s="14"/>
      <c r="M234" s="17"/>
      <c r="N234" s="100"/>
      <c r="O234" s="101" t="s">
        <v>76</v>
      </c>
      <c r="P234" s="102"/>
      <c r="Q234" s="14"/>
      <c r="R234" s="14"/>
      <c r="S234" s="14"/>
      <c r="T234" s="22"/>
    </row>
    <row r="235" spans="2:28" x14ac:dyDescent="0.25">
      <c r="B235" s="247"/>
      <c r="C235" s="245"/>
      <c r="D235" s="2"/>
      <c r="E235" s="8"/>
      <c r="F235" s="14"/>
      <c r="G235" s="100"/>
      <c r="H235" s="101" t="s">
        <v>76</v>
      </c>
      <c r="I235" s="102"/>
      <c r="J235" s="14"/>
      <c r="K235" s="14"/>
      <c r="L235" s="14"/>
      <c r="M235" s="14"/>
      <c r="N235" s="100"/>
      <c r="O235" s="84"/>
      <c r="P235" s="102"/>
      <c r="Q235" s="14"/>
      <c r="R235" s="14"/>
      <c r="S235" s="14"/>
      <c r="T235" s="22"/>
    </row>
    <row r="236" spans="2:28" x14ac:dyDescent="0.25">
      <c r="B236" s="108"/>
      <c r="C236" s="80"/>
      <c r="D236" s="14"/>
      <c r="E236" s="13"/>
      <c r="F236" s="14"/>
      <c r="G236" s="100"/>
      <c r="H236" s="84"/>
      <c r="I236" s="102"/>
      <c r="J236" s="14"/>
      <c r="K236" s="156" t="s">
        <v>109</v>
      </c>
      <c r="L236" s="155">
        <f>IF((C234*C246)=1,0,1)</f>
        <v>1</v>
      </c>
      <c r="M236" s="11"/>
      <c r="N236" s="100"/>
      <c r="O236" s="84"/>
      <c r="P236" s="102"/>
      <c r="Q236" s="14"/>
      <c r="R236" s="11"/>
      <c r="S236" s="246">
        <f>IF((L228*L236*L244)=1,0,1)</f>
        <v>0</v>
      </c>
      <c r="T236" s="244" t="s">
        <v>113</v>
      </c>
    </row>
    <row r="237" spans="2:28" x14ac:dyDescent="0.25">
      <c r="B237" s="108"/>
      <c r="C237" s="14"/>
      <c r="D237" s="14"/>
      <c r="E237" s="13"/>
      <c r="F237" s="14"/>
      <c r="G237" s="100"/>
      <c r="H237" s="84"/>
      <c r="I237" s="102"/>
      <c r="J237" s="14"/>
      <c r="K237" s="14"/>
      <c r="L237" s="14"/>
      <c r="M237" s="14"/>
      <c r="N237" s="100"/>
      <c r="O237" s="84"/>
      <c r="P237" s="102"/>
      <c r="Q237" s="14"/>
      <c r="R237" s="14"/>
      <c r="S237" s="246"/>
      <c r="T237" s="244"/>
    </row>
    <row r="238" spans="2:28" x14ac:dyDescent="0.25">
      <c r="B238" s="130"/>
      <c r="C238" s="90"/>
      <c r="D238" s="14"/>
      <c r="E238" s="13"/>
      <c r="F238" s="11"/>
      <c r="G238" s="100"/>
      <c r="H238" s="84"/>
      <c r="I238" s="102"/>
      <c r="J238" s="14"/>
      <c r="K238" s="14"/>
      <c r="L238" s="14"/>
      <c r="M238" s="11"/>
      <c r="N238" s="100"/>
      <c r="O238" s="84"/>
      <c r="P238" s="102"/>
      <c r="Q238" s="14"/>
      <c r="R238" s="14"/>
      <c r="S238" s="14"/>
      <c r="T238" s="22"/>
    </row>
    <row r="239" spans="2:28" x14ac:dyDescent="0.25">
      <c r="B239" s="130"/>
      <c r="C239" s="90"/>
      <c r="D239" s="14"/>
      <c r="E239" s="132"/>
      <c r="F239" s="14"/>
      <c r="G239" s="103"/>
      <c r="H239" s="104"/>
      <c r="I239" s="105"/>
      <c r="J239" s="14"/>
      <c r="K239" s="14"/>
      <c r="L239" s="14"/>
      <c r="M239" s="13"/>
      <c r="N239" s="100"/>
      <c r="O239" s="84"/>
      <c r="P239" s="102"/>
      <c r="Q239" s="14"/>
      <c r="R239" s="14"/>
      <c r="S239" s="14"/>
      <c r="T239" s="22"/>
    </row>
    <row r="240" spans="2:28" x14ac:dyDescent="0.25">
      <c r="B240" s="108"/>
      <c r="C240" s="14"/>
      <c r="D240" s="14"/>
      <c r="E240" s="132"/>
      <c r="F240" s="14"/>
      <c r="G240" s="14"/>
      <c r="H240" s="14"/>
      <c r="I240" s="14"/>
      <c r="J240" s="14"/>
      <c r="K240" s="14"/>
      <c r="L240" s="14"/>
      <c r="M240" s="13"/>
      <c r="N240" s="103"/>
      <c r="O240" s="104"/>
      <c r="P240" s="105"/>
      <c r="Q240" s="14"/>
      <c r="R240" s="14"/>
      <c r="S240" s="14"/>
      <c r="T240" s="22"/>
    </row>
    <row r="241" spans="2:31" x14ac:dyDescent="0.25">
      <c r="B241" s="108"/>
      <c r="C241" s="14"/>
      <c r="D241" s="14"/>
      <c r="E241" s="13"/>
      <c r="F241" s="13"/>
      <c r="G241" s="14"/>
      <c r="H241" s="14"/>
      <c r="I241" s="14"/>
      <c r="J241" s="14"/>
      <c r="K241" s="14"/>
      <c r="L241" s="14"/>
      <c r="M241" s="13"/>
      <c r="N241" s="14"/>
      <c r="O241" s="14"/>
      <c r="P241" s="14"/>
      <c r="Q241" s="14"/>
      <c r="R241" s="14"/>
      <c r="S241" s="14"/>
      <c r="T241" s="22"/>
    </row>
    <row r="242" spans="2:31" x14ac:dyDescent="0.25">
      <c r="B242" s="130"/>
      <c r="C242" s="90"/>
      <c r="D242" s="14"/>
      <c r="E242" s="17"/>
      <c r="F242" s="17"/>
      <c r="G242" s="97"/>
      <c r="H242" s="98"/>
      <c r="I242" s="99"/>
      <c r="J242" s="14"/>
      <c r="K242" s="14"/>
      <c r="L242" s="14"/>
      <c r="M242" s="13"/>
      <c r="N242" s="14"/>
      <c r="O242" s="14"/>
      <c r="P242" s="14"/>
      <c r="Q242" s="14"/>
      <c r="R242" s="14"/>
      <c r="S242" s="14"/>
      <c r="T242" s="22"/>
    </row>
    <row r="243" spans="2:31" x14ac:dyDescent="0.25">
      <c r="B243" s="130"/>
      <c r="C243" s="90"/>
      <c r="D243" s="14"/>
      <c r="E243" s="14"/>
      <c r="F243" s="13"/>
      <c r="G243" s="100"/>
      <c r="H243" s="101" t="s">
        <v>76</v>
      </c>
      <c r="I243" s="102"/>
      <c r="J243" s="14"/>
      <c r="K243" s="14"/>
      <c r="L243" s="14"/>
      <c r="M243" s="13"/>
      <c r="N243" s="14"/>
      <c r="O243" s="14"/>
      <c r="P243" s="14"/>
      <c r="Q243" s="14"/>
      <c r="R243" s="14"/>
      <c r="S243" s="14"/>
      <c r="T243" s="22"/>
    </row>
    <row r="244" spans="2:31" x14ac:dyDescent="0.25">
      <c r="B244" s="108"/>
      <c r="C244" s="80"/>
      <c r="D244" s="14"/>
      <c r="E244" s="14"/>
      <c r="F244" s="13"/>
      <c r="G244" s="100"/>
      <c r="H244" s="84"/>
      <c r="I244" s="102"/>
      <c r="J244" s="14"/>
      <c r="K244" s="156" t="s">
        <v>111</v>
      </c>
      <c r="L244" s="155">
        <f>IF((C226*C246)=1,0,1)</f>
        <v>1</v>
      </c>
      <c r="M244" s="13"/>
      <c r="N244" s="14"/>
      <c r="O244" s="14"/>
      <c r="P244" s="14"/>
      <c r="Q244" s="14"/>
      <c r="R244" s="14"/>
      <c r="S244" s="14"/>
      <c r="T244" s="22"/>
    </row>
    <row r="245" spans="2:31" x14ac:dyDescent="0.25">
      <c r="B245" s="108"/>
      <c r="C245" s="14"/>
      <c r="D245" s="14"/>
      <c r="E245" s="14"/>
      <c r="F245" s="13"/>
      <c r="G245" s="100"/>
      <c r="H245" s="84"/>
      <c r="I245" s="102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22"/>
    </row>
    <row r="246" spans="2:31" x14ac:dyDescent="0.25">
      <c r="B246" s="252" t="s">
        <v>78</v>
      </c>
      <c r="C246" s="245">
        <v>0</v>
      </c>
      <c r="D246" s="11"/>
      <c r="E246" s="12"/>
      <c r="F246" s="17"/>
      <c r="G246" s="100"/>
      <c r="H246" s="84"/>
      <c r="I246" s="102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22"/>
    </row>
    <row r="247" spans="2:31" x14ac:dyDescent="0.25">
      <c r="B247" s="252"/>
      <c r="C247" s="245"/>
      <c r="D247" s="14"/>
      <c r="E247" s="14"/>
      <c r="F247" s="14"/>
      <c r="G247" s="103"/>
      <c r="H247" s="104"/>
      <c r="I247" s="105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22"/>
    </row>
    <row r="248" spans="2:31" ht="15.6" thickBot="1" x14ac:dyDescent="0.3">
      <c r="B248" s="109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6"/>
    </row>
    <row r="249" spans="2:31" x14ac:dyDescent="0.25">
      <c r="B249" s="88"/>
      <c r="C249" s="7"/>
      <c r="D249" s="7"/>
      <c r="E249" s="7"/>
    </row>
    <row r="250" spans="2:31" ht="15.6" thickBot="1" x14ac:dyDescent="0.3"/>
    <row r="251" spans="2:31" x14ac:dyDescent="0.25">
      <c r="B251" s="107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20"/>
      <c r="Z251" s="119" t="s">
        <v>2</v>
      </c>
      <c r="AA251" s="119" t="s">
        <v>85</v>
      </c>
      <c r="AB251" s="119" t="s">
        <v>87</v>
      </c>
      <c r="AC251" s="120" t="s">
        <v>112</v>
      </c>
      <c r="AD251" s="120" t="s">
        <v>108</v>
      </c>
      <c r="AE251" s="120" t="s">
        <v>88</v>
      </c>
    </row>
    <row r="252" spans="2:31" x14ac:dyDescent="0.25">
      <c r="B252" s="247" t="s">
        <v>80</v>
      </c>
      <c r="C252" s="245">
        <v>1</v>
      </c>
      <c r="D252" s="11"/>
      <c r="E252" s="11"/>
      <c r="F252" s="11"/>
      <c r="G252" s="11"/>
      <c r="H252" s="11"/>
      <c r="I252" s="11"/>
      <c r="J252" s="11"/>
      <c r="K252" s="11"/>
      <c r="L252" s="161">
        <f>C252</f>
        <v>1</v>
      </c>
      <c r="M252" s="97"/>
      <c r="N252" s="98"/>
      <c r="O252" s="99"/>
      <c r="P252" s="14"/>
      <c r="Q252" s="14"/>
      <c r="R252" s="14"/>
      <c r="S252" s="14"/>
      <c r="T252" s="14"/>
      <c r="U252" s="14"/>
      <c r="V252" s="14"/>
      <c r="W252" s="14"/>
      <c r="X252" s="22"/>
      <c r="Z252" s="151"/>
      <c r="AA252" s="151"/>
      <c r="AB252" s="151"/>
      <c r="AC252" s="118"/>
      <c r="AD252" s="118"/>
      <c r="AE252" s="118"/>
    </row>
    <row r="253" spans="2:31" x14ac:dyDescent="0.25">
      <c r="B253" s="247"/>
      <c r="C253" s="245"/>
      <c r="D253" s="14"/>
      <c r="E253" s="14"/>
      <c r="F253" s="14"/>
      <c r="G253" s="14"/>
      <c r="H253" s="14"/>
      <c r="I253" s="14"/>
      <c r="J253" s="14"/>
      <c r="K253" s="14"/>
      <c r="L253" s="14"/>
      <c r="M253" s="100"/>
      <c r="N253" s="101" t="s">
        <v>76</v>
      </c>
      <c r="O253" s="102"/>
      <c r="P253" s="14"/>
      <c r="Q253" s="14"/>
      <c r="R253" s="14"/>
      <c r="S253" s="14"/>
      <c r="T253" s="14"/>
      <c r="U253" s="14"/>
      <c r="V253" s="14"/>
      <c r="W253" s="14"/>
      <c r="X253" s="22"/>
      <c r="Z253" s="151"/>
      <c r="AA253" s="151"/>
      <c r="AB253" s="151"/>
      <c r="AC253" s="118"/>
      <c r="AD253" s="118"/>
      <c r="AE253" s="118"/>
    </row>
    <row r="254" spans="2:31" x14ac:dyDescent="0.25">
      <c r="B254" s="108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00"/>
      <c r="N254" s="84"/>
      <c r="O254" s="102"/>
      <c r="P254" s="157" t="s">
        <v>107</v>
      </c>
      <c r="Q254" s="144">
        <f>L252*L256</f>
        <v>1</v>
      </c>
      <c r="R254" s="14"/>
      <c r="S254" s="14"/>
      <c r="T254" s="14"/>
      <c r="U254" s="14"/>
      <c r="V254" s="14"/>
      <c r="W254" s="14"/>
      <c r="X254" s="22"/>
      <c r="Z254" s="151"/>
      <c r="AA254" s="151"/>
      <c r="AB254" s="151"/>
      <c r="AC254" s="118"/>
      <c r="AD254" s="118"/>
      <c r="AE254" s="118"/>
    </row>
    <row r="255" spans="2:31" x14ac:dyDescent="0.25">
      <c r="B255" s="108"/>
      <c r="C255" s="14"/>
      <c r="D255" s="14"/>
      <c r="E255" s="14"/>
      <c r="F255" s="97"/>
      <c r="G255" s="98"/>
      <c r="H255" s="99"/>
      <c r="I255" s="14"/>
      <c r="J255" s="14"/>
      <c r="K255" s="11"/>
      <c r="L255" s="14"/>
      <c r="M255" s="100"/>
      <c r="N255" s="84"/>
      <c r="O255" s="102"/>
      <c r="P255" s="14"/>
      <c r="Q255" s="149"/>
      <c r="R255" s="13"/>
      <c r="S255" s="14"/>
      <c r="T255" s="14"/>
      <c r="U255" s="14"/>
      <c r="V255" s="14"/>
      <c r="W255" s="14"/>
      <c r="X255" s="22"/>
      <c r="Z255" s="151"/>
      <c r="AA255" s="151"/>
      <c r="AB255" s="151"/>
      <c r="AC255" s="118"/>
      <c r="AD255" s="118"/>
      <c r="AE255" s="118"/>
    </row>
    <row r="256" spans="2:31" x14ac:dyDescent="0.25">
      <c r="B256" s="247" t="s">
        <v>78</v>
      </c>
      <c r="C256" s="245">
        <v>0</v>
      </c>
      <c r="D256" s="11"/>
      <c r="E256" s="12"/>
      <c r="F256" s="100"/>
      <c r="G256" s="84">
        <v>1</v>
      </c>
      <c r="H256" s="102"/>
      <c r="I256" s="14"/>
      <c r="J256" s="14"/>
      <c r="K256" s="127" t="s">
        <v>78</v>
      </c>
      <c r="L256" s="161">
        <f>IF(C256=1,0,1)</f>
        <v>1</v>
      </c>
      <c r="M256" s="100"/>
      <c r="N256" s="84"/>
      <c r="O256" s="102"/>
      <c r="P256" s="14"/>
      <c r="Q256" s="149"/>
      <c r="R256" s="13"/>
      <c r="S256" s="97"/>
      <c r="T256" s="98"/>
      <c r="U256" s="99"/>
      <c r="V256" s="14"/>
      <c r="W256" s="14"/>
      <c r="X256" s="22"/>
      <c r="Z256" s="151"/>
      <c r="AA256" s="151"/>
      <c r="AB256" s="151"/>
      <c r="AC256" s="118"/>
      <c r="AD256" s="118"/>
      <c r="AE256" s="118"/>
    </row>
    <row r="257" spans="2:31" x14ac:dyDescent="0.25">
      <c r="B257" s="247"/>
      <c r="C257" s="245"/>
      <c r="D257" s="14"/>
      <c r="E257" s="8"/>
      <c r="F257" s="100"/>
      <c r="G257" s="84"/>
      <c r="H257" s="102"/>
      <c r="I257" s="14"/>
      <c r="J257" s="9"/>
      <c r="K257" s="14"/>
      <c r="L257" s="148"/>
      <c r="M257" s="103"/>
      <c r="N257" s="104"/>
      <c r="O257" s="105"/>
      <c r="P257" s="14"/>
      <c r="Q257" s="149"/>
      <c r="R257" s="17"/>
      <c r="S257" s="100"/>
      <c r="T257" s="106" t="s">
        <v>77</v>
      </c>
      <c r="U257" s="102"/>
      <c r="V257" s="14"/>
      <c r="W257" s="14"/>
      <c r="X257" s="22"/>
      <c r="Z257" s="151"/>
      <c r="AA257" s="151"/>
      <c r="AB257" s="151"/>
      <c r="AC257" s="118"/>
      <c r="AD257" s="118"/>
      <c r="AE257" s="118"/>
    </row>
    <row r="258" spans="2:31" x14ac:dyDescent="0.25">
      <c r="B258" s="108"/>
      <c r="C258" s="14"/>
      <c r="D258" s="14"/>
      <c r="E258" s="13"/>
      <c r="F258" s="103"/>
      <c r="G258" s="104"/>
      <c r="H258" s="105"/>
      <c r="I258" s="14"/>
      <c r="J258" s="14"/>
      <c r="K258" s="14"/>
      <c r="L258" s="149"/>
      <c r="M258" s="14"/>
      <c r="N258" s="14"/>
      <c r="O258" s="14"/>
      <c r="P258" s="14"/>
      <c r="Q258" s="149"/>
      <c r="R258" s="14"/>
      <c r="S258" s="100"/>
      <c r="T258" s="84"/>
      <c r="U258" s="102"/>
      <c r="V258" s="11"/>
      <c r="W258" s="246">
        <f>IF((Q254+Q262)&gt;0,1,0)</f>
        <v>1</v>
      </c>
      <c r="X258" s="244" t="s">
        <v>113</v>
      </c>
      <c r="Z258" s="151"/>
      <c r="AA258" s="151"/>
      <c r="AB258" s="151"/>
      <c r="AC258" s="118"/>
      <c r="AD258" s="118"/>
      <c r="AE258" s="118"/>
    </row>
    <row r="259" spans="2:31" x14ac:dyDescent="0.25">
      <c r="B259" s="108"/>
      <c r="C259" s="14"/>
      <c r="D259" s="14"/>
      <c r="E259" s="13"/>
      <c r="F259" s="14"/>
      <c r="G259" s="14"/>
      <c r="H259" s="14"/>
      <c r="I259" s="14"/>
      <c r="J259" s="14"/>
      <c r="K259" s="14"/>
      <c r="L259" s="149"/>
      <c r="M259" s="14"/>
      <c r="N259" s="14"/>
      <c r="O259" s="14"/>
      <c r="P259" s="14"/>
      <c r="Q259" s="149"/>
      <c r="R259" s="11"/>
      <c r="S259" s="100"/>
      <c r="T259" s="84"/>
      <c r="U259" s="102"/>
      <c r="V259" s="14"/>
      <c r="W259" s="246"/>
      <c r="X259" s="244"/>
      <c r="Z259" s="151"/>
      <c r="AA259" s="151"/>
      <c r="AB259" s="151"/>
      <c r="AC259" s="118"/>
      <c r="AD259" s="118"/>
      <c r="AE259" s="118"/>
    </row>
    <row r="260" spans="2:31" x14ac:dyDescent="0.25">
      <c r="B260" s="108"/>
      <c r="C260" s="14"/>
      <c r="D260" s="14"/>
      <c r="E260" s="17"/>
      <c r="F260" s="11"/>
      <c r="G260" s="11"/>
      <c r="H260" s="11"/>
      <c r="I260" s="11"/>
      <c r="J260" s="11"/>
      <c r="K260" s="11"/>
      <c r="L260" s="161">
        <f>C256</f>
        <v>0</v>
      </c>
      <c r="M260" s="97"/>
      <c r="N260" s="98"/>
      <c r="O260" s="99"/>
      <c r="P260" s="14"/>
      <c r="Q260" s="149"/>
      <c r="R260" s="8"/>
      <c r="S260" s="100"/>
      <c r="T260" s="84"/>
      <c r="U260" s="102"/>
      <c r="V260" s="14"/>
      <c r="W260" s="14"/>
      <c r="X260" s="22"/>
    </row>
    <row r="261" spans="2:31" x14ac:dyDescent="0.25">
      <c r="B261" s="108"/>
      <c r="C261" s="14"/>
      <c r="D261" s="14"/>
      <c r="E261" s="14"/>
      <c r="F261" s="14"/>
      <c r="G261" s="14"/>
      <c r="H261" s="14"/>
      <c r="I261" s="14"/>
      <c r="J261" s="14"/>
      <c r="K261" s="14"/>
      <c r="L261" s="149"/>
      <c r="M261" s="100"/>
      <c r="N261" s="101" t="s">
        <v>76</v>
      </c>
      <c r="O261" s="102"/>
      <c r="P261" s="14"/>
      <c r="Q261" s="149"/>
      <c r="R261" s="13"/>
      <c r="S261" s="103"/>
      <c r="T261" s="104"/>
      <c r="U261" s="105"/>
      <c r="V261" s="14"/>
      <c r="W261" s="14"/>
      <c r="X261" s="22"/>
    </row>
    <row r="262" spans="2:31" x14ac:dyDescent="0.25">
      <c r="B262" s="108"/>
      <c r="C262" s="14"/>
      <c r="D262" s="14"/>
      <c r="E262" s="14"/>
      <c r="F262" s="14"/>
      <c r="G262" s="14"/>
      <c r="H262" s="14"/>
      <c r="I262" s="14"/>
      <c r="J262" s="14"/>
      <c r="K262" s="14"/>
      <c r="L262" s="149"/>
      <c r="M262" s="100"/>
      <c r="N262" s="84"/>
      <c r="O262" s="102"/>
      <c r="P262" s="157" t="s">
        <v>109</v>
      </c>
      <c r="Q262" s="144">
        <f>L260*L264</f>
        <v>0</v>
      </c>
      <c r="R262" s="13"/>
      <c r="S262" s="14"/>
      <c r="T262" s="14"/>
      <c r="U262" s="14"/>
      <c r="V262" s="14"/>
      <c r="W262" s="14"/>
      <c r="X262" s="22"/>
    </row>
    <row r="263" spans="2:31" x14ac:dyDescent="0.25">
      <c r="B263" s="108"/>
      <c r="C263" s="14"/>
      <c r="D263" s="14"/>
      <c r="E263" s="14"/>
      <c r="F263" s="14"/>
      <c r="G263" s="14"/>
      <c r="H263" s="14"/>
      <c r="I263" s="14"/>
      <c r="J263" s="14"/>
      <c r="K263" s="14"/>
      <c r="L263" s="149"/>
      <c r="M263" s="100"/>
      <c r="N263" s="84"/>
      <c r="O263" s="102"/>
      <c r="P263" s="14"/>
      <c r="Q263" s="14"/>
      <c r="R263" s="14"/>
      <c r="S263" s="14"/>
      <c r="T263" s="14"/>
      <c r="U263" s="14"/>
      <c r="V263" s="14"/>
      <c r="W263" s="14"/>
      <c r="X263" s="22"/>
    </row>
    <row r="264" spans="2:31" x14ac:dyDescent="0.25">
      <c r="B264" s="247" t="s">
        <v>79</v>
      </c>
      <c r="C264" s="245">
        <v>0</v>
      </c>
      <c r="D264" s="11"/>
      <c r="E264" s="11"/>
      <c r="F264" s="11"/>
      <c r="G264" s="11"/>
      <c r="H264" s="11"/>
      <c r="I264" s="11"/>
      <c r="J264" s="11"/>
      <c r="K264" s="11"/>
      <c r="L264" s="161">
        <f>C264</f>
        <v>0</v>
      </c>
      <c r="M264" s="100"/>
      <c r="N264" s="84"/>
      <c r="O264" s="102"/>
      <c r="P264" s="14"/>
      <c r="Q264" s="14"/>
      <c r="R264" s="14"/>
      <c r="S264" s="14"/>
      <c r="T264" s="14"/>
      <c r="U264" s="14"/>
      <c r="V264" s="14"/>
      <c r="W264" s="14"/>
      <c r="X264" s="22"/>
    </row>
    <row r="265" spans="2:31" x14ac:dyDescent="0.25">
      <c r="B265" s="247"/>
      <c r="C265" s="245"/>
      <c r="D265" s="14"/>
      <c r="E265" s="14"/>
      <c r="F265" s="14"/>
      <c r="G265" s="14"/>
      <c r="H265" s="14"/>
      <c r="I265" s="14"/>
      <c r="J265" s="14"/>
      <c r="K265" s="14"/>
      <c r="L265" s="2"/>
      <c r="M265" s="103"/>
      <c r="N265" s="104"/>
      <c r="O265" s="105"/>
      <c r="P265" s="14"/>
      <c r="Q265" s="14"/>
      <c r="R265" s="14"/>
      <c r="S265" s="14"/>
      <c r="T265" s="14"/>
      <c r="U265" s="14"/>
      <c r="V265" s="14"/>
      <c r="W265" s="14"/>
      <c r="X265" s="22"/>
    </row>
    <row r="266" spans="2:31" ht="15.6" thickBot="1" x14ac:dyDescent="0.3">
      <c r="B266" s="109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6"/>
    </row>
    <row r="268" spans="2:31" ht="15.6" thickBot="1" x14ac:dyDescent="0.3"/>
    <row r="269" spans="2:31" x14ac:dyDescent="0.25">
      <c r="B269" s="18"/>
      <c r="C269" s="19"/>
      <c r="D269" s="19"/>
      <c r="E269" s="19"/>
      <c r="F269" s="19"/>
      <c r="G269" s="19"/>
      <c r="H269" s="19"/>
      <c r="I269" s="81"/>
      <c r="J269" s="19"/>
      <c r="K269" s="19"/>
      <c r="L269" s="20"/>
      <c r="N269" s="119" t="s">
        <v>2</v>
      </c>
      <c r="O269" s="120" t="s">
        <v>86</v>
      </c>
    </row>
    <row r="270" spans="2:31" x14ac:dyDescent="0.25">
      <c r="B270" s="21"/>
      <c r="C270" s="14"/>
      <c r="D270" s="14"/>
      <c r="E270" s="89"/>
      <c r="F270" s="97"/>
      <c r="G270" s="98"/>
      <c r="H270" s="99"/>
      <c r="I270" s="14"/>
      <c r="J270" s="14"/>
      <c r="K270" s="14"/>
      <c r="L270" s="22"/>
      <c r="N270" s="119"/>
      <c r="O270" s="117"/>
    </row>
    <row r="271" spans="2:31" x14ac:dyDescent="0.25">
      <c r="B271" s="21"/>
      <c r="C271" s="14"/>
      <c r="D271" s="16"/>
      <c r="E271" s="2"/>
      <c r="F271" s="100"/>
      <c r="G271" s="101" t="s">
        <v>76</v>
      </c>
      <c r="H271" s="102"/>
      <c r="I271" s="14"/>
      <c r="J271" s="14"/>
      <c r="K271" s="14"/>
      <c r="L271" s="22"/>
      <c r="N271" s="119"/>
      <c r="O271" s="117"/>
    </row>
    <row r="272" spans="2:31" x14ac:dyDescent="0.25">
      <c r="B272" s="247" t="s">
        <v>80</v>
      </c>
      <c r="C272" s="245">
        <v>1</v>
      </c>
      <c r="D272" s="12"/>
      <c r="E272" s="14"/>
      <c r="F272" s="100"/>
      <c r="G272" s="84"/>
      <c r="H272" s="102"/>
      <c r="I272" s="14"/>
      <c r="J272" s="11"/>
      <c r="K272" s="246">
        <f>'Pomocné výpočty'!E62</f>
        <v>0</v>
      </c>
      <c r="L272" s="244" t="s">
        <v>84</v>
      </c>
    </row>
    <row r="273" spans="2:26" x14ac:dyDescent="0.25">
      <c r="B273" s="247"/>
      <c r="C273" s="245"/>
      <c r="D273" s="16"/>
      <c r="E273" s="14"/>
      <c r="F273" s="100"/>
      <c r="G273" s="84"/>
      <c r="H273" s="102"/>
      <c r="I273" s="14"/>
      <c r="J273" s="14"/>
      <c r="K273" s="246"/>
      <c r="L273" s="244"/>
    </row>
    <row r="274" spans="2:26" x14ac:dyDescent="0.25">
      <c r="B274" s="21"/>
      <c r="C274" s="14"/>
      <c r="D274" s="16"/>
      <c r="E274" s="11"/>
      <c r="F274" s="100"/>
      <c r="G274" s="84"/>
      <c r="H274" s="102"/>
      <c r="I274" s="14"/>
      <c r="J274" s="14"/>
      <c r="K274" s="14"/>
      <c r="L274" s="110"/>
    </row>
    <row r="275" spans="2:26" x14ac:dyDescent="0.25">
      <c r="B275" s="21"/>
      <c r="C275" s="14"/>
      <c r="D275" s="14"/>
      <c r="E275" s="14"/>
      <c r="F275" s="103"/>
      <c r="G275" s="104"/>
      <c r="H275" s="105"/>
      <c r="I275" s="14"/>
      <c r="J275" s="14"/>
      <c r="K275" s="14"/>
      <c r="L275" s="110"/>
    </row>
    <row r="276" spans="2:26" ht="15.6" thickBot="1" x14ac:dyDescent="0.3">
      <c r="B276" s="24"/>
      <c r="C276" s="25"/>
      <c r="D276" s="25"/>
      <c r="E276" s="25"/>
      <c r="F276" s="25"/>
      <c r="G276" s="25"/>
      <c r="H276" s="25"/>
      <c r="I276" s="83"/>
      <c r="J276" s="25"/>
      <c r="K276" s="25"/>
      <c r="L276" s="111"/>
    </row>
    <row r="278" spans="2:26" ht="15.6" thickBot="1" x14ac:dyDescent="0.3"/>
    <row r="279" spans="2:26" x14ac:dyDescent="0.25">
      <c r="B279" s="18"/>
      <c r="C279" s="19"/>
      <c r="D279" s="19"/>
      <c r="E279" s="19"/>
      <c r="F279" s="19"/>
      <c r="G279" s="19"/>
      <c r="H279" s="19"/>
      <c r="I279" s="81"/>
      <c r="J279" s="19"/>
      <c r="K279" s="19"/>
      <c r="L279" s="19"/>
      <c r="M279" s="19"/>
      <c r="N279" s="19"/>
      <c r="O279" s="19"/>
      <c r="P279" s="19"/>
      <c r="Q279" s="19"/>
      <c r="R279" s="19"/>
      <c r="S279" s="20"/>
      <c r="U279" s="119" t="s">
        <v>2</v>
      </c>
      <c r="V279" s="119" t="s">
        <v>85</v>
      </c>
      <c r="W279" s="120" t="s">
        <v>112</v>
      </c>
      <c r="X279" s="120" t="s">
        <v>108</v>
      </c>
      <c r="Y279" s="120" t="s">
        <v>88</v>
      </c>
    </row>
    <row r="280" spans="2:26" x14ac:dyDescent="0.25">
      <c r="B280" s="21"/>
      <c r="C280" s="14"/>
      <c r="D280" s="14"/>
      <c r="E280" s="89"/>
      <c r="F280" s="97"/>
      <c r="G280" s="98"/>
      <c r="H280" s="99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22"/>
      <c r="U280" s="151"/>
      <c r="V280" s="151"/>
      <c r="W280" s="118"/>
      <c r="X280" s="118"/>
      <c r="Y280" s="118"/>
    </row>
    <row r="281" spans="2:26" x14ac:dyDescent="0.25">
      <c r="B281" s="21"/>
      <c r="C281" s="14"/>
      <c r="D281" s="16"/>
      <c r="E281" s="2"/>
      <c r="F281" s="100"/>
      <c r="G281" s="101" t="s">
        <v>76</v>
      </c>
      <c r="H281" s="102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22"/>
      <c r="U281" s="151"/>
      <c r="V281" s="151"/>
      <c r="W281" s="118"/>
      <c r="X281" s="118"/>
      <c r="Y281" s="118"/>
    </row>
    <row r="282" spans="2:26" x14ac:dyDescent="0.25">
      <c r="B282" s="247" t="s">
        <v>80</v>
      </c>
      <c r="C282" s="245">
        <v>1</v>
      </c>
      <c r="D282" s="12"/>
      <c r="E282" s="14"/>
      <c r="F282" s="100"/>
      <c r="G282" s="84"/>
      <c r="H282" s="102"/>
      <c r="I282" s="14"/>
      <c r="J282" s="89" t="s">
        <v>107</v>
      </c>
      <c r="K282" s="155">
        <f>'Pomocné výpočty'!E64</f>
        <v>0</v>
      </c>
      <c r="L282" s="2"/>
      <c r="M282" s="215"/>
      <c r="N282" s="14"/>
      <c r="O282" s="14"/>
      <c r="P282" s="14"/>
      <c r="Q282" s="14"/>
      <c r="R282" s="14"/>
      <c r="S282" s="22"/>
      <c r="U282" s="151"/>
      <c r="V282" s="151"/>
      <c r="W282" s="118"/>
      <c r="X282" s="118"/>
      <c r="Y282" s="118"/>
    </row>
    <row r="283" spans="2:26" x14ac:dyDescent="0.25">
      <c r="B283" s="247"/>
      <c r="C283" s="245"/>
      <c r="D283" s="16"/>
      <c r="E283" s="14"/>
      <c r="F283" s="100"/>
      <c r="G283" s="84"/>
      <c r="H283" s="102"/>
      <c r="I283" s="14"/>
      <c r="J283" s="14"/>
      <c r="K283" s="94"/>
      <c r="L283" s="13"/>
      <c r="M283" s="215"/>
      <c r="N283" s="14"/>
      <c r="O283" s="14"/>
      <c r="P283" s="14"/>
      <c r="Q283" s="14"/>
      <c r="R283" s="14"/>
      <c r="S283" s="22"/>
      <c r="U283" s="151"/>
      <c r="V283" s="151"/>
      <c r="W283" s="118"/>
      <c r="X283" s="118"/>
      <c r="Y283" s="118"/>
    </row>
    <row r="284" spans="2:26" x14ac:dyDescent="0.25">
      <c r="B284" s="21"/>
      <c r="C284" s="14"/>
      <c r="D284" s="16"/>
      <c r="E284" s="11"/>
      <c r="F284" s="100"/>
      <c r="G284" s="84"/>
      <c r="H284" s="102"/>
      <c r="I284" s="14"/>
      <c r="J284" s="14"/>
      <c r="K284" s="14"/>
      <c r="L284" s="13"/>
      <c r="M284" s="213"/>
      <c r="N284" s="14"/>
      <c r="O284" s="14"/>
      <c r="P284" s="14"/>
      <c r="Q284" s="14"/>
      <c r="R284" s="14"/>
      <c r="S284" s="22"/>
      <c r="U284" s="7"/>
      <c r="V284" s="7"/>
      <c r="W284" s="7"/>
      <c r="X284" s="7"/>
      <c r="Y284" s="7"/>
      <c r="Z284" s="7"/>
    </row>
    <row r="285" spans="2:26" x14ac:dyDescent="0.25">
      <c r="B285" s="21"/>
      <c r="C285" s="14"/>
      <c r="D285" s="14"/>
      <c r="E285" s="14"/>
      <c r="F285" s="103"/>
      <c r="G285" s="104"/>
      <c r="H285" s="105"/>
      <c r="I285" s="14"/>
      <c r="J285" s="14"/>
      <c r="K285" s="14"/>
      <c r="L285" s="17"/>
      <c r="M285" s="97"/>
      <c r="N285" s="98"/>
      <c r="O285" s="99"/>
      <c r="P285" s="14"/>
      <c r="Q285" s="14"/>
      <c r="R285" s="14"/>
      <c r="S285" s="22"/>
      <c r="U285" s="7"/>
      <c r="V285" s="7"/>
      <c r="W285" s="7"/>
      <c r="X285" s="7"/>
      <c r="Y285" s="7"/>
      <c r="Z285" s="7"/>
    </row>
    <row r="286" spans="2:26" x14ac:dyDescent="0.25">
      <c r="B286" s="21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00"/>
      <c r="N286" s="101" t="s">
        <v>76</v>
      </c>
      <c r="O286" s="102"/>
      <c r="P286" s="14"/>
      <c r="Q286" s="14"/>
      <c r="R286" s="14"/>
      <c r="S286" s="22"/>
      <c r="U286" s="7"/>
      <c r="V286" s="7"/>
      <c r="W286" s="7"/>
      <c r="X286" s="7"/>
      <c r="Y286" s="7"/>
      <c r="Z286" s="7"/>
    </row>
    <row r="287" spans="2:26" x14ac:dyDescent="0.25">
      <c r="B287" s="108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00"/>
      <c r="N287" s="84"/>
      <c r="O287" s="102"/>
      <c r="P287" s="14"/>
      <c r="Q287" s="89"/>
      <c r="R287" s="246">
        <f>'Pomocné výpočty'!G67</f>
        <v>1</v>
      </c>
      <c r="S287" s="244" t="s">
        <v>113</v>
      </c>
      <c r="U287" s="7"/>
      <c r="V287" s="7"/>
      <c r="W287" s="7"/>
      <c r="X287" s="7"/>
      <c r="Y287" s="7"/>
      <c r="Z287" s="7"/>
    </row>
    <row r="288" spans="2:26" x14ac:dyDescent="0.25">
      <c r="B288" s="108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00"/>
      <c r="N288" s="84"/>
      <c r="O288" s="102"/>
      <c r="P288" s="14"/>
      <c r="Q288" s="2"/>
      <c r="R288" s="246"/>
      <c r="S288" s="244"/>
    </row>
    <row r="289" spans="2:26" x14ac:dyDescent="0.25">
      <c r="B289" s="21"/>
      <c r="C289" s="14"/>
      <c r="D289" s="14"/>
      <c r="E289" s="14"/>
      <c r="F289" s="14"/>
      <c r="G289" s="14"/>
      <c r="H289" s="14"/>
      <c r="I289" s="2"/>
      <c r="J289" s="14"/>
      <c r="K289" s="14"/>
      <c r="L289" s="11"/>
      <c r="M289" s="100"/>
      <c r="N289" s="84"/>
      <c r="O289" s="102"/>
      <c r="P289" s="14"/>
      <c r="Q289" s="14"/>
      <c r="R289" s="14"/>
      <c r="S289" s="22"/>
    </row>
    <row r="290" spans="2:26" x14ac:dyDescent="0.25">
      <c r="B290" s="21"/>
      <c r="C290" s="14"/>
      <c r="D290" s="14"/>
      <c r="E290" s="89"/>
      <c r="F290" s="97"/>
      <c r="G290" s="98"/>
      <c r="H290" s="99"/>
      <c r="I290" s="14"/>
      <c r="J290" s="14"/>
      <c r="K290" s="14"/>
      <c r="L290" s="8"/>
      <c r="M290" s="103"/>
      <c r="N290" s="104"/>
      <c r="O290" s="105"/>
      <c r="P290" s="14"/>
      <c r="Q290" s="14"/>
      <c r="R290" s="14"/>
      <c r="S290" s="22"/>
    </row>
    <row r="291" spans="2:26" x14ac:dyDescent="0.25">
      <c r="B291" s="21"/>
      <c r="C291" s="14"/>
      <c r="D291" s="16"/>
      <c r="E291" s="2"/>
      <c r="F291" s="100"/>
      <c r="G291" s="101" t="s">
        <v>76</v>
      </c>
      <c r="H291" s="102"/>
      <c r="I291" s="14"/>
      <c r="J291" s="14"/>
      <c r="K291" s="14"/>
      <c r="L291" s="13"/>
      <c r="M291" s="14"/>
      <c r="N291" s="14"/>
      <c r="O291" s="14"/>
      <c r="P291" s="14"/>
      <c r="Q291" s="14"/>
      <c r="R291" s="14"/>
      <c r="S291" s="22"/>
    </row>
    <row r="292" spans="2:26" x14ac:dyDescent="0.25">
      <c r="B292" s="247" t="s">
        <v>79</v>
      </c>
      <c r="C292" s="245">
        <v>1</v>
      </c>
      <c r="D292" s="12"/>
      <c r="E292" s="14"/>
      <c r="F292" s="100"/>
      <c r="G292" s="84"/>
      <c r="H292" s="102"/>
      <c r="I292" s="14"/>
      <c r="J292" s="11" t="s">
        <v>109</v>
      </c>
      <c r="K292" s="155">
        <f>'Pomocné výpočty'!E65</f>
        <v>0</v>
      </c>
      <c r="L292" s="13"/>
      <c r="M292" s="215"/>
      <c r="N292" s="14"/>
      <c r="O292" s="14"/>
      <c r="P292" s="14"/>
      <c r="Q292" s="14"/>
      <c r="R292" s="14"/>
      <c r="S292" s="22"/>
    </row>
    <row r="293" spans="2:26" x14ac:dyDescent="0.25">
      <c r="B293" s="247"/>
      <c r="C293" s="245"/>
      <c r="D293" s="16"/>
      <c r="E293" s="14"/>
      <c r="F293" s="100"/>
      <c r="G293" s="84"/>
      <c r="H293" s="102"/>
      <c r="I293" s="14"/>
      <c r="J293" s="2"/>
      <c r="K293" s="94"/>
      <c r="L293" s="14"/>
      <c r="M293" s="215"/>
      <c r="N293" s="14"/>
      <c r="O293" s="14"/>
      <c r="P293" s="14"/>
      <c r="Q293" s="14"/>
      <c r="R293" s="14"/>
      <c r="S293" s="22"/>
    </row>
    <row r="294" spans="2:26" x14ac:dyDescent="0.25">
      <c r="B294" s="21"/>
      <c r="C294" s="14"/>
      <c r="D294" s="16"/>
      <c r="E294" s="11"/>
      <c r="F294" s="100"/>
      <c r="G294" s="84"/>
      <c r="H294" s="102"/>
      <c r="I294" s="14"/>
      <c r="J294" s="14"/>
      <c r="K294" s="14"/>
      <c r="L294" s="213"/>
      <c r="M294" s="14"/>
      <c r="N294" s="14"/>
      <c r="O294" s="14"/>
      <c r="P294" s="14"/>
      <c r="Q294" s="14"/>
      <c r="R294" s="14"/>
      <c r="S294" s="22"/>
    </row>
    <row r="295" spans="2:26" x14ac:dyDescent="0.25">
      <c r="B295" s="21"/>
      <c r="C295" s="14"/>
      <c r="D295" s="14"/>
      <c r="E295" s="14"/>
      <c r="F295" s="103"/>
      <c r="G295" s="104"/>
      <c r="H295" s="105"/>
      <c r="I295" s="14"/>
      <c r="J295" s="14"/>
      <c r="K295" s="14"/>
      <c r="L295" s="213"/>
      <c r="M295" s="14"/>
      <c r="N295" s="14"/>
      <c r="O295" s="14"/>
      <c r="P295" s="14"/>
      <c r="Q295" s="14"/>
      <c r="R295" s="14"/>
      <c r="S295" s="22"/>
    </row>
    <row r="296" spans="2:26" ht="15.6" thickBot="1" x14ac:dyDescent="0.3">
      <c r="B296" s="24"/>
      <c r="C296" s="25"/>
      <c r="D296" s="25"/>
      <c r="E296" s="25"/>
      <c r="F296" s="25"/>
      <c r="G296" s="25"/>
      <c r="H296" s="25"/>
      <c r="I296" s="83"/>
      <c r="J296" s="25"/>
      <c r="K296" s="25"/>
      <c r="L296" s="214"/>
      <c r="M296" s="83"/>
      <c r="N296" s="25"/>
      <c r="O296" s="25"/>
      <c r="P296" s="25"/>
      <c r="Q296" s="25"/>
      <c r="R296" s="25"/>
      <c r="S296" s="26"/>
    </row>
    <row r="298" spans="2:26" ht="15.6" thickBot="1" x14ac:dyDescent="0.3"/>
    <row r="299" spans="2:26" x14ac:dyDescent="0.25">
      <c r="B299" s="18"/>
      <c r="C299" s="19"/>
      <c r="D299" s="19"/>
      <c r="E299" s="19"/>
      <c r="F299" s="19"/>
      <c r="G299" s="19"/>
      <c r="H299" s="19"/>
      <c r="I299" s="19"/>
      <c r="J299" s="81"/>
      <c r="K299" s="19"/>
      <c r="L299" s="19"/>
      <c r="M299" s="19"/>
      <c r="N299" s="19"/>
      <c r="O299" s="19"/>
      <c r="P299" s="19"/>
      <c r="Q299" s="19"/>
      <c r="R299" s="19"/>
      <c r="S299" s="20"/>
      <c r="U299" s="119" t="s">
        <v>2</v>
      </c>
      <c r="V299" s="119" t="s">
        <v>85</v>
      </c>
      <c r="W299" s="120" t="s">
        <v>112</v>
      </c>
      <c r="X299" s="120" t="s">
        <v>108</v>
      </c>
      <c r="Y299" s="120" t="s">
        <v>88</v>
      </c>
    </row>
    <row r="300" spans="2:26" x14ac:dyDescent="0.25">
      <c r="B300" s="247" t="s">
        <v>80</v>
      </c>
      <c r="C300" s="245">
        <v>1</v>
      </c>
      <c r="D300" s="11"/>
      <c r="E300" s="11"/>
      <c r="F300" s="12"/>
      <c r="G300" s="97"/>
      <c r="H300" s="98"/>
      <c r="I300" s="99"/>
      <c r="J300" s="14"/>
      <c r="K300" s="14"/>
      <c r="L300" s="14"/>
      <c r="M300" s="14"/>
      <c r="N300" s="14"/>
      <c r="O300" s="14"/>
      <c r="P300" s="14"/>
      <c r="Q300" s="14"/>
      <c r="R300" s="14"/>
      <c r="S300" s="22"/>
      <c r="U300" s="151"/>
      <c r="V300" s="151"/>
      <c r="W300" s="118"/>
      <c r="X300" s="118"/>
      <c r="Y300" s="118"/>
    </row>
    <row r="301" spans="2:26" x14ac:dyDescent="0.25">
      <c r="B301" s="247"/>
      <c r="C301" s="245"/>
      <c r="D301" s="14"/>
      <c r="E301" s="10"/>
      <c r="F301" s="14"/>
      <c r="G301" s="100"/>
      <c r="H301" s="101" t="s">
        <v>76</v>
      </c>
      <c r="I301" s="102"/>
      <c r="J301" s="14"/>
      <c r="K301" s="14"/>
      <c r="L301" s="14"/>
      <c r="M301" s="14"/>
      <c r="N301" s="14"/>
      <c r="O301" s="14"/>
      <c r="P301" s="14"/>
      <c r="Q301" s="14"/>
      <c r="R301" s="14"/>
      <c r="S301" s="22"/>
      <c r="U301" s="151"/>
      <c r="V301" s="151"/>
      <c r="W301" s="118"/>
      <c r="X301" s="118"/>
      <c r="Y301" s="118"/>
    </row>
    <row r="302" spans="2:26" x14ac:dyDescent="0.25">
      <c r="B302" s="108"/>
      <c r="C302" s="14"/>
      <c r="D302" s="14"/>
      <c r="E302" s="16"/>
      <c r="F302" s="14"/>
      <c r="G302" s="100"/>
      <c r="H302" s="84"/>
      <c r="I302" s="102"/>
      <c r="J302" s="14"/>
      <c r="K302" s="89" t="s">
        <v>107</v>
      </c>
      <c r="L302" s="216">
        <f>'Pomocné výpočty'!D70</f>
        <v>0</v>
      </c>
      <c r="M302" s="14"/>
      <c r="N302" s="14"/>
      <c r="O302" s="14"/>
      <c r="P302" s="14"/>
      <c r="Q302" s="14"/>
      <c r="R302" s="14"/>
      <c r="S302" s="22"/>
      <c r="U302" s="151"/>
      <c r="V302" s="151"/>
      <c r="W302" s="118"/>
      <c r="X302" s="118"/>
      <c r="Y302" s="118"/>
    </row>
    <row r="303" spans="2:26" x14ac:dyDescent="0.25">
      <c r="B303" s="108"/>
      <c r="C303" s="14"/>
      <c r="D303" s="14"/>
      <c r="E303" s="16"/>
      <c r="F303" s="14"/>
      <c r="G303" s="100"/>
      <c r="H303" s="84"/>
      <c r="I303" s="102"/>
      <c r="J303" s="14"/>
      <c r="K303" s="14"/>
      <c r="L303" s="136"/>
      <c r="M303" s="14"/>
      <c r="N303" s="14"/>
      <c r="O303" s="14"/>
      <c r="P303" s="14"/>
      <c r="Q303" s="14"/>
      <c r="R303" s="14"/>
      <c r="S303" s="22"/>
      <c r="U303" s="151"/>
      <c r="V303" s="151"/>
      <c r="W303" s="118"/>
      <c r="X303" s="118"/>
      <c r="Y303" s="118"/>
    </row>
    <row r="304" spans="2:26" x14ac:dyDescent="0.25">
      <c r="B304" s="247" t="s">
        <v>79</v>
      </c>
      <c r="C304" s="245">
        <v>1</v>
      </c>
      <c r="D304" s="11"/>
      <c r="E304" s="12"/>
      <c r="F304" s="12"/>
      <c r="G304" s="100"/>
      <c r="H304" s="84"/>
      <c r="I304" s="102"/>
      <c r="J304" s="14"/>
      <c r="K304" s="14"/>
      <c r="L304" s="13"/>
      <c r="M304" s="213"/>
      <c r="N304" s="14"/>
      <c r="O304" s="14"/>
      <c r="P304" s="14"/>
      <c r="Q304" s="14"/>
      <c r="R304" s="14"/>
      <c r="S304" s="22"/>
      <c r="U304" s="7"/>
      <c r="V304" s="7"/>
      <c r="W304" s="7"/>
      <c r="X304" s="7"/>
      <c r="Y304" s="7"/>
      <c r="Z304" s="7"/>
    </row>
    <row r="305" spans="2:26" x14ac:dyDescent="0.25">
      <c r="B305" s="247"/>
      <c r="C305" s="245"/>
      <c r="D305" s="10"/>
      <c r="E305" s="16"/>
      <c r="F305" s="14"/>
      <c r="G305" s="103"/>
      <c r="H305" s="104"/>
      <c r="I305" s="105"/>
      <c r="J305" s="14"/>
      <c r="K305" s="14"/>
      <c r="L305" s="17"/>
      <c r="M305" s="97"/>
      <c r="N305" s="98"/>
      <c r="O305" s="99"/>
      <c r="P305" s="14"/>
      <c r="Q305" s="14"/>
      <c r="R305" s="14"/>
      <c r="S305" s="22"/>
      <c r="U305" s="7"/>
      <c r="V305" s="7"/>
      <c r="W305" s="7"/>
      <c r="X305" s="7"/>
      <c r="Y305" s="7"/>
      <c r="Z305" s="7"/>
    </row>
    <row r="306" spans="2:26" x14ac:dyDescent="0.25">
      <c r="B306" s="21"/>
      <c r="C306" s="14"/>
      <c r="D306" s="16"/>
      <c r="E306" s="16"/>
      <c r="F306" s="14"/>
      <c r="G306" s="14"/>
      <c r="H306" s="14"/>
      <c r="I306" s="14"/>
      <c r="J306" s="14"/>
      <c r="K306" s="14"/>
      <c r="L306" s="14"/>
      <c r="M306" s="100"/>
      <c r="N306" s="101" t="s">
        <v>76</v>
      </c>
      <c r="O306" s="102"/>
      <c r="P306" s="14"/>
      <c r="Q306" s="14"/>
      <c r="R306" s="14"/>
      <c r="S306" s="22"/>
      <c r="U306" s="7"/>
      <c r="V306" s="7"/>
      <c r="W306" s="7"/>
      <c r="X306" s="7"/>
      <c r="Y306" s="7"/>
      <c r="Z306" s="7"/>
    </row>
    <row r="307" spans="2:26" x14ac:dyDescent="0.25">
      <c r="B307" s="108"/>
      <c r="C307" s="14"/>
      <c r="D307" s="16"/>
      <c r="E307" s="16"/>
      <c r="F307" s="14"/>
      <c r="G307" s="14"/>
      <c r="H307" s="14"/>
      <c r="I307" s="14"/>
      <c r="J307" s="14"/>
      <c r="K307" s="14"/>
      <c r="L307" s="14"/>
      <c r="M307" s="100"/>
      <c r="N307" s="84"/>
      <c r="O307" s="102"/>
      <c r="P307" s="14"/>
      <c r="Q307" s="89"/>
      <c r="R307" s="246">
        <f>'Pomocné výpočty'!F70</f>
        <v>1</v>
      </c>
      <c r="S307" s="244" t="s">
        <v>113</v>
      </c>
      <c r="U307" s="7"/>
      <c r="V307" s="7"/>
      <c r="W307" s="7"/>
      <c r="X307" s="7"/>
      <c r="Y307" s="7"/>
      <c r="Z307" s="7"/>
    </row>
    <row r="308" spans="2:26" x14ac:dyDescent="0.25">
      <c r="B308" s="108"/>
      <c r="C308" s="14"/>
      <c r="D308" s="16"/>
      <c r="E308" s="16"/>
      <c r="F308" s="14"/>
      <c r="G308" s="14"/>
      <c r="H308" s="14"/>
      <c r="I308" s="14"/>
      <c r="J308" s="14"/>
      <c r="K308" s="14"/>
      <c r="L308" s="14"/>
      <c r="M308" s="100"/>
      <c r="N308" s="84"/>
      <c r="O308" s="102"/>
      <c r="P308" s="14"/>
      <c r="Q308" s="2"/>
      <c r="R308" s="246"/>
      <c r="S308" s="244"/>
      <c r="U308" s="7"/>
      <c r="V308" s="7"/>
      <c r="W308" s="7"/>
      <c r="X308" s="7"/>
      <c r="Y308" s="7"/>
      <c r="Z308" s="7"/>
    </row>
    <row r="309" spans="2:26" x14ac:dyDescent="0.25">
      <c r="B309" s="21"/>
      <c r="C309" s="14"/>
      <c r="D309" s="16"/>
      <c r="E309" s="16"/>
      <c r="F309" s="14"/>
      <c r="G309" s="14"/>
      <c r="H309" s="14"/>
      <c r="I309" s="14"/>
      <c r="J309" s="2"/>
      <c r="K309" s="14"/>
      <c r="L309" s="11"/>
      <c r="M309" s="100"/>
      <c r="N309" s="84"/>
      <c r="O309" s="102"/>
      <c r="P309" s="14"/>
      <c r="Q309" s="14"/>
      <c r="R309" s="14"/>
      <c r="S309" s="22"/>
    </row>
    <row r="310" spans="2:26" x14ac:dyDescent="0.25">
      <c r="B310" s="21"/>
      <c r="C310" s="14"/>
      <c r="D310" s="16"/>
      <c r="E310" s="16"/>
      <c r="F310" s="12"/>
      <c r="G310" s="97"/>
      <c r="H310" s="98"/>
      <c r="I310" s="99"/>
      <c r="J310" s="14"/>
      <c r="K310" s="14"/>
      <c r="L310" s="8"/>
      <c r="M310" s="103"/>
      <c r="N310" s="104"/>
      <c r="O310" s="105"/>
      <c r="P310" s="14"/>
      <c r="Q310" s="14"/>
      <c r="R310" s="14"/>
      <c r="S310" s="22"/>
    </row>
    <row r="311" spans="2:26" x14ac:dyDescent="0.25">
      <c r="B311" s="21"/>
      <c r="C311" s="14"/>
      <c r="D311" s="16"/>
      <c r="E311" s="14"/>
      <c r="F311" s="14"/>
      <c r="G311" s="100"/>
      <c r="H311" s="101" t="s">
        <v>76</v>
      </c>
      <c r="I311" s="102"/>
      <c r="J311" s="14"/>
      <c r="K311" s="14"/>
      <c r="L311" s="13"/>
      <c r="M311" s="14"/>
      <c r="N311" s="14"/>
      <c r="O311" s="14"/>
      <c r="P311" s="14"/>
      <c r="Q311" s="14"/>
      <c r="R311" s="14"/>
      <c r="S311" s="22"/>
    </row>
    <row r="312" spans="2:26" x14ac:dyDescent="0.25">
      <c r="B312" s="108"/>
      <c r="C312" s="14"/>
      <c r="D312" s="16"/>
      <c r="E312" s="14"/>
      <c r="F312" s="14"/>
      <c r="G312" s="100"/>
      <c r="H312" s="84"/>
      <c r="I312" s="102"/>
      <c r="J312" s="14"/>
      <c r="K312" s="11"/>
      <c r="L312" s="13"/>
      <c r="M312" s="215"/>
      <c r="N312" s="14"/>
      <c r="O312" s="14"/>
      <c r="P312" s="14"/>
      <c r="Q312" s="14"/>
      <c r="R312" s="14"/>
      <c r="S312" s="22"/>
    </row>
    <row r="313" spans="2:26" x14ac:dyDescent="0.25">
      <c r="B313" s="108"/>
      <c r="C313" s="14"/>
      <c r="D313" s="16"/>
      <c r="E313" s="14"/>
      <c r="F313" s="14"/>
      <c r="G313" s="100"/>
      <c r="H313" s="84"/>
      <c r="I313" s="102"/>
      <c r="J313" s="14"/>
      <c r="K313" s="2" t="s">
        <v>109</v>
      </c>
      <c r="L313" s="216">
        <f>L302</f>
        <v>0</v>
      </c>
      <c r="M313" s="14"/>
      <c r="N313" s="14"/>
      <c r="O313" s="14"/>
      <c r="P313" s="14"/>
      <c r="Q313" s="14"/>
      <c r="R313" s="14"/>
      <c r="S313" s="22"/>
    </row>
    <row r="314" spans="2:26" x14ac:dyDescent="0.25">
      <c r="B314" s="21"/>
      <c r="C314" s="14"/>
      <c r="D314" s="16"/>
      <c r="E314" s="17"/>
      <c r="F314" s="12"/>
      <c r="G314" s="100"/>
      <c r="H314" s="84"/>
      <c r="I314" s="102"/>
      <c r="J314" s="14"/>
      <c r="K314" s="14"/>
      <c r="L314" s="14"/>
      <c r="M314" s="14"/>
      <c r="N314" s="14"/>
      <c r="O314" s="14"/>
      <c r="P314" s="14"/>
      <c r="Q314" s="14"/>
      <c r="R314" s="14"/>
      <c r="S314" s="22"/>
    </row>
    <row r="315" spans="2:26" x14ac:dyDescent="0.25">
      <c r="B315" s="21"/>
      <c r="C315" s="14"/>
      <c r="D315" s="14"/>
      <c r="E315" s="14"/>
      <c r="F315" s="14"/>
      <c r="G315" s="103"/>
      <c r="H315" s="104"/>
      <c r="I315" s="105"/>
      <c r="J315" s="14"/>
      <c r="K315" s="14"/>
      <c r="L315" s="14"/>
      <c r="M315" s="14"/>
      <c r="N315" s="14"/>
      <c r="O315" s="14"/>
      <c r="P315" s="14"/>
      <c r="Q315" s="14"/>
      <c r="R315" s="14"/>
      <c r="S315" s="22"/>
    </row>
    <row r="316" spans="2:26" ht="15.6" thickBot="1" x14ac:dyDescent="0.3">
      <c r="B316" s="24"/>
      <c r="C316" s="25"/>
      <c r="D316" s="25"/>
      <c r="E316" s="25"/>
      <c r="F316" s="83"/>
      <c r="G316" s="25"/>
      <c r="H316" s="25"/>
      <c r="I316" s="25"/>
      <c r="J316" s="83"/>
      <c r="K316" s="25"/>
      <c r="L316" s="25"/>
      <c r="M316" s="25"/>
      <c r="N316" s="25"/>
      <c r="O316" s="25"/>
      <c r="P316" s="25"/>
      <c r="Q316" s="25"/>
      <c r="R316" s="25"/>
      <c r="S316" s="26"/>
    </row>
  </sheetData>
  <mergeCells count="140">
    <mergeCell ref="S287:S288"/>
    <mergeCell ref="B300:B301"/>
    <mergeCell ref="C300:C301"/>
    <mergeCell ref="B304:B305"/>
    <mergeCell ref="C304:C305"/>
    <mergeCell ref="R307:R308"/>
    <mergeCell ref="S307:S308"/>
    <mergeCell ref="B282:B283"/>
    <mergeCell ref="C282:C283"/>
    <mergeCell ref="B292:B293"/>
    <mergeCell ref="C292:C293"/>
    <mergeCell ref="R287:R288"/>
    <mergeCell ref="B264:B265"/>
    <mergeCell ref="W258:W259"/>
    <mergeCell ref="S236:S237"/>
    <mergeCell ref="T236:T237"/>
    <mergeCell ref="C256:C257"/>
    <mergeCell ref="B256:B257"/>
    <mergeCell ref="C252:C253"/>
    <mergeCell ref="B252:B253"/>
    <mergeCell ref="C246:C247"/>
    <mergeCell ref="B246:B247"/>
    <mergeCell ref="AB180:AB181"/>
    <mergeCell ref="AC180:AC181"/>
    <mergeCell ref="B200:B201"/>
    <mergeCell ref="C200:C201"/>
    <mergeCell ref="AA100:AA101"/>
    <mergeCell ref="AA114:AA115"/>
    <mergeCell ref="B111:B112"/>
    <mergeCell ref="C111:C112"/>
    <mergeCell ref="Z114:Z115"/>
    <mergeCell ref="Z100:Z101"/>
    <mergeCell ref="B124:B125"/>
    <mergeCell ref="C124:C125"/>
    <mergeCell ref="B128:B129"/>
    <mergeCell ref="B117:B118"/>
    <mergeCell ref="C117:C118"/>
    <mergeCell ref="C103:C104"/>
    <mergeCell ref="B144:B145"/>
    <mergeCell ref="C144:C145"/>
    <mergeCell ref="B148:B149"/>
    <mergeCell ref="B138:B139"/>
    <mergeCell ref="C138:C139"/>
    <mergeCell ref="B153:B154"/>
    <mergeCell ref="C153:C154"/>
    <mergeCell ref="B157:B158"/>
    <mergeCell ref="K68:K69"/>
    <mergeCell ref="K39:K40"/>
    <mergeCell ref="J28:J29"/>
    <mergeCell ref="J16:J17"/>
    <mergeCell ref="J78:J79"/>
    <mergeCell ref="C80:C81"/>
    <mergeCell ref="B3:B4"/>
    <mergeCell ref="B7:B8"/>
    <mergeCell ref="B16:B17"/>
    <mergeCell ref="B19:B20"/>
    <mergeCell ref="B25:B26"/>
    <mergeCell ref="J5:J6"/>
    <mergeCell ref="B80:B81"/>
    <mergeCell ref="B76:B77"/>
    <mergeCell ref="B13:B14"/>
    <mergeCell ref="B66:B67"/>
    <mergeCell ref="B70:B71"/>
    <mergeCell ref="B28:B29"/>
    <mergeCell ref="C66:C67"/>
    <mergeCell ref="V28:V29"/>
    <mergeCell ref="L28:L29"/>
    <mergeCell ref="C25:C26"/>
    <mergeCell ref="C28:C29"/>
    <mergeCell ref="I28:I29"/>
    <mergeCell ref="O25:O26"/>
    <mergeCell ref="O28:O29"/>
    <mergeCell ref="N25:N26"/>
    <mergeCell ref="I88:I89"/>
    <mergeCell ref="J88:J89"/>
    <mergeCell ref="J68:J69"/>
    <mergeCell ref="Q54:Q55"/>
    <mergeCell ref="C49:C50"/>
    <mergeCell ref="C55:C56"/>
    <mergeCell ref="C59:C60"/>
    <mergeCell ref="P54:P55"/>
    <mergeCell ref="O31:O32"/>
    <mergeCell ref="U28:U29"/>
    <mergeCell ref="C39:C40"/>
    <mergeCell ref="C31:C32"/>
    <mergeCell ref="J39:J40"/>
    <mergeCell ref="N28:N29"/>
    <mergeCell ref="N31:N32"/>
    <mergeCell ref="K78:K79"/>
    <mergeCell ref="B90:B91"/>
    <mergeCell ref="C90:C91"/>
    <mergeCell ref="C3:C4"/>
    <mergeCell ref="C7:C8"/>
    <mergeCell ref="I5:I6"/>
    <mergeCell ref="C13:C14"/>
    <mergeCell ref="C19:C20"/>
    <mergeCell ref="C16:C17"/>
    <mergeCell ref="I16:I17"/>
    <mergeCell ref="B59:B60"/>
    <mergeCell ref="B55:B56"/>
    <mergeCell ref="C70:C71"/>
    <mergeCell ref="C76:C77"/>
    <mergeCell ref="B86:B87"/>
    <mergeCell ref="C86:C87"/>
    <mergeCell ref="B49:B50"/>
    <mergeCell ref="B31:B32"/>
    <mergeCell ref="B39:B40"/>
    <mergeCell ref="C97:C98"/>
    <mergeCell ref="B97:B98"/>
    <mergeCell ref="B103:B104"/>
    <mergeCell ref="R136:R137"/>
    <mergeCell ref="S136:S137"/>
    <mergeCell ref="L126:L127"/>
    <mergeCell ref="K126:K127"/>
    <mergeCell ref="B134:B135"/>
    <mergeCell ref="C134:C135"/>
    <mergeCell ref="X258:X259"/>
    <mergeCell ref="C272:C273"/>
    <mergeCell ref="K272:K273"/>
    <mergeCell ref="L272:L273"/>
    <mergeCell ref="B272:B273"/>
    <mergeCell ref="S151:S152"/>
    <mergeCell ref="T151:T152"/>
    <mergeCell ref="C173:C174"/>
    <mergeCell ref="B173:B174"/>
    <mergeCell ref="C183:C184"/>
    <mergeCell ref="B183:B184"/>
    <mergeCell ref="C163:C164"/>
    <mergeCell ref="B163:B164"/>
    <mergeCell ref="Q210:Q211"/>
    <mergeCell ref="B226:B227"/>
    <mergeCell ref="C226:C227"/>
    <mergeCell ref="B234:B235"/>
    <mergeCell ref="C234:C235"/>
    <mergeCell ref="B208:B209"/>
    <mergeCell ref="C208:C209"/>
    <mergeCell ref="C220:C221"/>
    <mergeCell ref="B220:B221"/>
    <mergeCell ref="P210:P211"/>
    <mergeCell ref="C264:C265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0"/>
  <sheetViews>
    <sheetView workbookViewId="0"/>
  </sheetViews>
  <sheetFormatPr defaultColWidth="9.109375" defaultRowHeight="15" x14ac:dyDescent="0.25"/>
  <cols>
    <col min="1" max="1" width="4.6640625" style="1" customWidth="1"/>
    <col min="2" max="2" width="4.5546875" style="1" customWidth="1"/>
    <col min="3" max="3" width="13.88671875" style="1" customWidth="1"/>
    <col min="4" max="4" width="9.109375" style="1"/>
    <col min="5" max="5" width="23.88671875" style="1" customWidth="1"/>
    <col min="6" max="6" width="4.88671875" style="1" customWidth="1"/>
    <col min="7" max="16384" width="9.109375" style="1"/>
  </cols>
  <sheetData>
    <row r="2" spans="2:6" x14ac:dyDescent="0.2">
      <c r="B2" s="8"/>
      <c r="C2" s="9"/>
      <c r="D2" s="9"/>
      <c r="E2" s="9"/>
      <c r="F2" s="10"/>
    </row>
    <row r="3" spans="2:6" x14ac:dyDescent="0.2">
      <c r="B3" s="13"/>
      <c r="C3" s="80" t="s">
        <v>114</v>
      </c>
      <c r="D3" s="14"/>
      <c r="E3" s="80" t="s">
        <v>115</v>
      </c>
      <c r="F3" s="16"/>
    </row>
    <row r="4" spans="2:6" x14ac:dyDescent="0.2">
      <c r="B4" s="136"/>
      <c r="C4" s="143">
        <v>219</v>
      </c>
      <c r="D4" s="14"/>
      <c r="E4" s="162" t="str">
        <f>DEC2BIN(C4,8)</f>
        <v>11011011</v>
      </c>
      <c r="F4" s="16"/>
    </row>
    <row r="5" spans="2:6" x14ac:dyDescent="0.2">
      <c r="B5" s="17"/>
      <c r="C5" s="125"/>
      <c r="D5" s="11"/>
      <c r="E5" s="125"/>
      <c r="F5" s="12"/>
    </row>
    <row r="6" spans="2:6" x14ac:dyDescent="0.2">
      <c r="C6" s="57"/>
      <c r="E6" s="57"/>
      <c r="F6" s="2"/>
    </row>
    <row r="7" spans="2:6" x14ac:dyDescent="0.2">
      <c r="B7" s="8"/>
      <c r="C7" s="126"/>
      <c r="D7" s="9"/>
      <c r="E7" s="126"/>
      <c r="F7" s="10"/>
    </row>
    <row r="8" spans="2:6" x14ac:dyDescent="0.2">
      <c r="B8" s="13"/>
      <c r="C8" s="80" t="s">
        <v>114</v>
      </c>
      <c r="D8" s="14"/>
      <c r="E8" s="80" t="s">
        <v>116</v>
      </c>
      <c r="F8" s="16"/>
    </row>
    <row r="9" spans="2:6" x14ac:dyDescent="0.2">
      <c r="B9" s="136"/>
      <c r="C9" s="143">
        <v>219</v>
      </c>
      <c r="D9" s="2"/>
      <c r="E9" s="162" t="str">
        <f>DEC2HEX(C9,2)</f>
        <v>DB</v>
      </c>
      <c r="F9" s="16"/>
    </row>
    <row r="10" spans="2:6" x14ac:dyDescent="0.2">
      <c r="B10" s="17"/>
      <c r="C10" s="125"/>
      <c r="D10" s="11"/>
      <c r="E10" s="125"/>
      <c r="F10" s="12"/>
    </row>
    <row r="11" spans="2:6" x14ac:dyDescent="0.2">
      <c r="C11" s="57"/>
      <c r="E11" s="57"/>
      <c r="F11" s="2"/>
    </row>
    <row r="12" spans="2:6" x14ac:dyDescent="0.2">
      <c r="B12" s="8"/>
      <c r="C12" s="126"/>
      <c r="D12" s="9"/>
      <c r="E12" s="126"/>
      <c r="F12" s="10"/>
    </row>
    <row r="13" spans="2:6" x14ac:dyDescent="0.25">
      <c r="B13" s="13"/>
      <c r="C13" s="80" t="s">
        <v>117</v>
      </c>
      <c r="D13" s="14"/>
      <c r="E13" s="80" t="s">
        <v>118</v>
      </c>
      <c r="F13" s="16"/>
    </row>
    <row r="14" spans="2:6" x14ac:dyDescent="0.2">
      <c r="B14" s="13"/>
      <c r="C14" s="143">
        <v>1</v>
      </c>
      <c r="D14" s="14"/>
      <c r="E14" s="162">
        <f>BIN2DEC(C14)</f>
        <v>1</v>
      </c>
      <c r="F14" s="16"/>
    </row>
    <row r="15" spans="2:6" x14ac:dyDescent="0.2">
      <c r="B15" s="17"/>
      <c r="C15" s="163"/>
      <c r="D15" s="11"/>
      <c r="E15" s="125"/>
      <c r="F15" s="12"/>
    </row>
    <row r="16" spans="2:6" x14ac:dyDescent="0.2">
      <c r="F16" s="2"/>
    </row>
    <row r="17" spans="2:6" x14ac:dyDescent="0.2">
      <c r="B17" s="8"/>
      <c r="C17" s="9"/>
      <c r="D17" s="9"/>
      <c r="E17" s="9"/>
      <c r="F17" s="10"/>
    </row>
    <row r="18" spans="2:6" x14ac:dyDescent="0.25">
      <c r="B18" s="13"/>
      <c r="C18" s="80" t="s">
        <v>117</v>
      </c>
      <c r="D18" s="14"/>
      <c r="E18" s="80" t="s">
        <v>119</v>
      </c>
      <c r="F18" s="16"/>
    </row>
    <row r="19" spans="2:6" x14ac:dyDescent="0.2">
      <c r="B19" s="136"/>
      <c r="C19" s="143">
        <v>1</v>
      </c>
      <c r="D19" s="14"/>
      <c r="E19" s="162" t="str">
        <f>BIN2HEX(C19)</f>
        <v>1</v>
      </c>
      <c r="F19" s="16"/>
    </row>
    <row r="20" spans="2:6" x14ac:dyDescent="0.2">
      <c r="B20" s="17"/>
      <c r="C20" s="125"/>
      <c r="D20" s="11"/>
      <c r="E20" s="125"/>
      <c r="F20" s="12"/>
    </row>
    <row r="21" spans="2:6" x14ac:dyDescent="0.2">
      <c r="F21" s="2"/>
    </row>
    <row r="22" spans="2:6" x14ac:dyDescent="0.2">
      <c r="B22" s="8"/>
      <c r="C22" s="9"/>
      <c r="D22" s="9"/>
      <c r="E22" s="9"/>
      <c r="F22" s="10"/>
    </row>
    <row r="23" spans="2:6" x14ac:dyDescent="0.2">
      <c r="B23" s="13"/>
      <c r="C23" s="80" t="s">
        <v>120</v>
      </c>
      <c r="D23" s="80"/>
      <c r="E23" s="80" t="s">
        <v>115</v>
      </c>
      <c r="F23" s="16"/>
    </row>
    <row r="24" spans="2:6" x14ac:dyDescent="0.2">
      <c r="B24" s="13"/>
      <c r="C24" s="143" t="s">
        <v>149</v>
      </c>
      <c r="D24" s="80"/>
      <c r="E24" s="162" t="str">
        <f>HEX2BIN(C24,8)</f>
        <v>01001111</v>
      </c>
      <c r="F24" s="16"/>
    </row>
    <row r="25" spans="2:6" x14ac:dyDescent="0.2">
      <c r="B25" s="17"/>
      <c r="C25" s="163"/>
      <c r="D25" s="125"/>
      <c r="E25" s="125"/>
      <c r="F25" s="12"/>
    </row>
    <row r="26" spans="2:6" x14ac:dyDescent="0.2">
      <c r="C26" s="57"/>
      <c r="D26" s="57"/>
      <c r="E26" s="57"/>
      <c r="F26" s="2"/>
    </row>
    <row r="27" spans="2:6" x14ac:dyDescent="0.2">
      <c r="B27" s="8"/>
      <c r="C27" s="126"/>
      <c r="D27" s="126"/>
      <c r="E27" s="126"/>
      <c r="F27" s="10"/>
    </row>
    <row r="28" spans="2:6" x14ac:dyDescent="0.2">
      <c r="B28" s="13"/>
      <c r="C28" s="80" t="s">
        <v>121</v>
      </c>
      <c r="D28" s="80"/>
      <c r="E28" s="80" t="s">
        <v>118</v>
      </c>
      <c r="F28" s="16"/>
    </row>
    <row r="29" spans="2:6" x14ac:dyDescent="0.2">
      <c r="B29" s="13"/>
      <c r="C29" s="143" t="s">
        <v>149</v>
      </c>
      <c r="D29" s="80"/>
      <c r="E29" s="162">
        <f>HEX2DEC(C29)</f>
        <v>79</v>
      </c>
      <c r="F29" s="16"/>
    </row>
    <row r="30" spans="2:6" x14ac:dyDescent="0.2">
      <c r="B30" s="17"/>
      <c r="C30" s="11"/>
      <c r="D30" s="11"/>
      <c r="E30" s="11"/>
      <c r="F30" s="1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8"/>
  <sheetViews>
    <sheetView workbookViewId="0"/>
  </sheetViews>
  <sheetFormatPr defaultColWidth="5.109375" defaultRowHeight="15" x14ac:dyDescent="0.25"/>
  <cols>
    <col min="1" max="1" width="4.109375" style="1" customWidth="1"/>
    <col min="2" max="5" width="5.109375" style="1"/>
    <col min="6" max="6" width="5.6640625" style="1" customWidth="1"/>
    <col min="7" max="8" width="5.109375" style="1"/>
    <col min="9" max="9" width="7.44140625" style="1" bestFit="1" customWidth="1"/>
    <col min="10" max="25" width="5.109375" style="1"/>
    <col min="26" max="26" width="8" style="1" customWidth="1"/>
    <col min="27" max="27" width="5.109375" style="1"/>
    <col min="28" max="28" width="5.109375" style="1" customWidth="1"/>
    <col min="29" max="16384" width="5.109375" style="1"/>
  </cols>
  <sheetData>
    <row r="1" spans="2:16" ht="15.75" thickBot="1" x14ac:dyDescent="0.25"/>
    <row r="2" spans="2:16" x14ac:dyDescent="0.2"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20"/>
    </row>
    <row r="3" spans="2:16" x14ac:dyDescent="0.2">
      <c r="B3" s="21"/>
      <c r="C3" s="14"/>
      <c r="D3" s="16"/>
      <c r="E3" s="14"/>
      <c r="F3" s="13"/>
      <c r="G3" s="14"/>
      <c r="H3" s="14"/>
      <c r="I3" s="14"/>
      <c r="J3" s="14"/>
      <c r="K3" s="14"/>
      <c r="L3" s="16"/>
      <c r="M3" s="14"/>
      <c r="N3" s="13"/>
      <c r="O3" s="14"/>
      <c r="P3" s="22"/>
    </row>
    <row r="4" spans="2:16" x14ac:dyDescent="0.2">
      <c r="B4" s="21"/>
      <c r="C4" s="14"/>
      <c r="D4" s="16"/>
      <c r="E4" s="14"/>
      <c r="F4" s="13"/>
      <c r="G4" s="14"/>
      <c r="H4" s="14"/>
      <c r="I4" s="14"/>
      <c r="J4" s="14"/>
      <c r="K4" s="14"/>
      <c r="L4" s="16"/>
      <c r="M4" s="14"/>
      <c r="N4" s="13"/>
      <c r="O4" s="14"/>
      <c r="P4" s="22"/>
    </row>
    <row r="5" spans="2:16" x14ac:dyDescent="0.2">
      <c r="B5" s="21"/>
      <c r="C5" s="14"/>
      <c r="D5" s="16"/>
      <c r="E5" s="14"/>
      <c r="F5" s="13"/>
      <c r="G5" s="14"/>
      <c r="H5" s="14"/>
      <c r="I5" s="14"/>
      <c r="J5" s="14"/>
      <c r="K5" s="14"/>
      <c r="L5" s="16"/>
      <c r="M5" s="14"/>
      <c r="N5" s="13"/>
      <c r="O5" s="14"/>
      <c r="P5" s="22"/>
    </row>
    <row r="6" spans="2:16" x14ac:dyDescent="0.2">
      <c r="B6" s="21"/>
      <c r="C6" s="14"/>
      <c r="D6" s="16"/>
      <c r="E6" s="14"/>
      <c r="F6" s="13"/>
      <c r="G6" s="14"/>
      <c r="H6" s="14"/>
      <c r="I6" s="14"/>
      <c r="J6" s="14"/>
      <c r="K6" s="14"/>
      <c r="L6" s="16"/>
      <c r="M6" s="14"/>
      <c r="N6" s="13"/>
      <c r="O6" s="14"/>
      <c r="P6" s="22"/>
    </row>
    <row r="7" spans="2:16" x14ac:dyDescent="0.2">
      <c r="B7" s="21"/>
      <c r="C7" s="9"/>
      <c r="D7" s="10"/>
      <c r="E7" s="14"/>
      <c r="F7" s="8"/>
      <c r="G7" s="9"/>
      <c r="H7" s="9"/>
      <c r="I7" s="9"/>
      <c r="J7" s="9"/>
      <c r="K7" s="9"/>
      <c r="L7" s="10"/>
      <c r="M7" s="14"/>
      <c r="N7" s="8"/>
      <c r="O7" s="9"/>
      <c r="P7" s="22"/>
    </row>
    <row r="8" spans="2:16" x14ac:dyDescent="0.2">
      <c r="B8" s="21"/>
      <c r="C8" s="14"/>
      <c r="D8" s="16"/>
      <c r="E8" s="14"/>
      <c r="F8" s="13"/>
      <c r="G8" s="14"/>
      <c r="H8" s="14"/>
      <c r="I8" s="14"/>
      <c r="J8" s="14"/>
      <c r="K8" s="14"/>
      <c r="L8" s="16"/>
      <c r="M8" s="14"/>
      <c r="N8" s="13"/>
      <c r="O8" s="14"/>
      <c r="P8" s="22"/>
    </row>
    <row r="9" spans="2:16" x14ac:dyDescent="0.2">
      <c r="B9" s="21"/>
      <c r="C9" s="14"/>
      <c r="D9" s="16"/>
      <c r="E9" s="14"/>
      <c r="F9" s="13"/>
      <c r="G9" s="14"/>
      <c r="H9" s="14"/>
      <c r="I9" s="14"/>
      <c r="J9" s="14"/>
      <c r="K9" s="14"/>
      <c r="L9" s="16"/>
      <c r="M9" s="14"/>
      <c r="N9" s="13"/>
      <c r="O9" s="14"/>
      <c r="P9" s="22"/>
    </row>
    <row r="10" spans="2:16" x14ac:dyDescent="0.2">
      <c r="B10" s="21"/>
      <c r="C10" s="14"/>
      <c r="D10" s="16"/>
      <c r="E10" s="14"/>
      <c r="F10" s="13"/>
      <c r="G10" s="14"/>
      <c r="H10" s="14"/>
      <c r="I10" s="14"/>
      <c r="J10" s="14"/>
      <c r="K10" s="14"/>
      <c r="L10" s="16"/>
      <c r="M10" s="14"/>
      <c r="N10" s="13"/>
      <c r="O10" s="14"/>
      <c r="P10" s="22"/>
    </row>
    <row r="11" spans="2:16" x14ac:dyDescent="0.2">
      <c r="B11" s="21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22"/>
    </row>
    <row r="12" spans="2:16" x14ac:dyDescent="0.2">
      <c r="B12" s="21"/>
      <c r="C12" s="85" t="s">
        <v>130</v>
      </c>
      <c r="D12" s="80" t="s">
        <v>64</v>
      </c>
      <c r="E12" s="165">
        <v>25</v>
      </c>
      <c r="F12" s="86" t="s">
        <v>5</v>
      </c>
      <c r="G12" s="14"/>
      <c r="H12" s="14"/>
      <c r="I12" s="14"/>
      <c r="J12" s="14"/>
      <c r="K12" s="85" t="s">
        <v>131</v>
      </c>
      <c r="L12" s="80" t="s">
        <v>64</v>
      </c>
      <c r="M12" s="165">
        <v>2</v>
      </c>
      <c r="N12" s="86" t="s">
        <v>5</v>
      </c>
      <c r="O12" s="14"/>
      <c r="P12" s="22"/>
    </row>
    <row r="13" spans="2:16" x14ac:dyDescent="0.2">
      <c r="B13" s="21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22"/>
    </row>
    <row r="14" spans="2:16" x14ac:dyDescent="0.25">
      <c r="B14" s="21"/>
      <c r="C14" s="64" t="s">
        <v>133</v>
      </c>
      <c r="D14" s="64"/>
      <c r="E14" s="64"/>
      <c r="F14" s="64"/>
      <c r="G14" s="148" t="s">
        <v>64</v>
      </c>
      <c r="H14" s="148"/>
      <c r="I14" s="166">
        <f>(E12*M12)/(E12+M12)</f>
        <v>1.8518518518518519</v>
      </c>
      <c r="J14" s="27" t="s">
        <v>5</v>
      </c>
      <c r="K14" s="14"/>
      <c r="L14" s="14"/>
      <c r="M14" s="14"/>
      <c r="N14" s="14"/>
      <c r="O14" s="14"/>
      <c r="P14" s="22"/>
    </row>
    <row r="15" spans="2:16" ht="15.75" thickBot="1" x14ac:dyDescent="0.25"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6"/>
    </row>
    <row r="17" spans="2:28" ht="15.75" thickBot="1" x14ac:dyDescent="0.25"/>
    <row r="18" spans="2:28" x14ac:dyDescent="0.2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20"/>
    </row>
    <row r="19" spans="2:28" x14ac:dyDescent="0.2">
      <c r="B19" s="21"/>
      <c r="C19" s="14"/>
      <c r="D19" s="14"/>
      <c r="E19" s="14"/>
      <c r="F19" s="14"/>
      <c r="G19" s="14"/>
      <c r="H19" s="14"/>
      <c r="I19" s="14"/>
      <c r="J19" s="8"/>
      <c r="K19" s="9"/>
      <c r="L19" s="9"/>
      <c r="M19" s="9"/>
      <c r="N19" s="9"/>
      <c r="O19" s="9"/>
      <c r="P19" s="9"/>
      <c r="Q19" s="9"/>
      <c r="R19" s="9"/>
      <c r="S19" s="9"/>
      <c r="T19" s="10"/>
      <c r="U19" s="13"/>
      <c r="V19" s="14"/>
      <c r="W19" s="14"/>
      <c r="X19" s="14"/>
      <c r="Y19" s="14"/>
      <c r="Z19" s="14"/>
      <c r="AA19" s="14"/>
      <c r="AB19" s="22"/>
    </row>
    <row r="20" spans="2:28" x14ac:dyDescent="0.2">
      <c r="B20" s="21"/>
      <c r="C20" s="14"/>
      <c r="D20" s="14"/>
      <c r="E20" s="14"/>
      <c r="F20" s="14"/>
      <c r="G20" s="14"/>
      <c r="H20" s="14"/>
      <c r="I20" s="14"/>
      <c r="J20" s="13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3"/>
      <c r="V20" s="14"/>
      <c r="W20" s="14"/>
      <c r="X20" s="14"/>
      <c r="Y20" s="14"/>
      <c r="Z20" s="14"/>
      <c r="AA20" s="14"/>
      <c r="AB20" s="22"/>
    </row>
    <row r="21" spans="2:28" x14ac:dyDescent="0.2">
      <c r="B21" s="21"/>
      <c r="C21" s="14"/>
      <c r="D21" s="14"/>
      <c r="E21" s="14"/>
      <c r="F21" s="14"/>
      <c r="G21" s="14"/>
      <c r="H21" s="14"/>
      <c r="I21" s="14"/>
      <c r="J21" s="13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3"/>
      <c r="V21" s="14"/>
      <c r="W21" s="14"/>
      <c r="X21" s="14"/>
      <c r="Y21" s="14"/>
      <c r="Z21" s="14"/>
      <c r="AA21" s="14"/>
      <c r="AB21" s="22"/>
    </row>
    <row r="22" spans="2:28" x14ac:dyDescent="0.2">
      <c r="B22" s="21"/>
      <c r="C22" s="14"/>
      <c r="D22" s="14"/>
      <c r="E22" s="11"/>
      <c r="F22" s="11"/>
      <c r="G22" s="11"/>
      <c r="H22" s="11"/>
      <c r="I22" s="11"/>
      <c r="J22" s="17"/>
      <c r="K22" s="11"/>
      <c r="L22" s="11"/>
      <c r="M22" s="11"/>
      <c r="N22" s="14"/>
      <c r="O22" s="14"/>
      <c r="P22" s="14"/>
      <c r="Q22" s="14"/>
      <c r="R22" s="14"/>
      <c r="S22" s="14"/>
      <c r="T22" s="14"/>
      <c r="U22" s="13"/>
      <c r="V22" s="14"/>
      <c r="W22" s="14"/>
      <c r="X22" s="14"/>
      <c r="Y22" s="14"/>
      <c r="Z22" s="14"/>
      <c r="AA22" s="14"/>
      <c r="AB22" s="22"/>
    </row>
    <row r="23" spans="2:28" x14ac:dyDescent="0.2">
      <c r="B23" s="21"/>
      <c r="C23" s="14"/>
      <c r="D23" s="14"/>
      <c r="E23" s="13"/>
      <c r="F23" s="14"/>
      <c r="G23" s="14"/>
      <c r="H23" s="14"/>
      <c r="I23" s="14"/>
      <c r="J23" s="14"/>
      <c r="K23" s="14"/>
      <c r="L23" s="14"/>
      <c r="M23" s="14"/>
      <c r="N23" s="13"/>
      <c r="O23" s="14"/>
      <c r="P23" s="14"/>
      <c r="Q23" s="14"/>
      <c r="R23" s="14"/>
      <c r="S23" s="14"/>
      <c r="T23" s="14"/>
      <c r="U23" s="13"/>
      <c r="V23" s="14"/>
      <c r="W23" s="14"/>
      <c r="X23" s="14"/>
      <c r="Y23" s="14"/>
      <c r="Z23" s="14"/>
      <c r="AA23" s="14"/>
      <c r="AB23" s="22"/>
    </row>
    <row r="24" spans="2:28" x14ac:dyDescent="0.2">
      <c r="B24" s="21"/>
      <c r="C24" s="14"/>
      <c r="D24" s="14"/>
      <c r="E24" s="13"/>
      <c r="F24" s="14"/>
      <c r="G24" s="14"/>
      <c r="H24" s="14"/>
      <c r="I24" s="14"/>
      <c r="J24" s="14"/>
      <c r="K24" s="14"/>
      <c r="L24" s="14"/>
      <c r="M24" s="14"/>
      <c r="N24" s="13"/>
      <c r="O24" s="14"/>
      <c r="P24" s="14"/>
      <c r="Q24" s="14"/>
      <c r="R24" s="14"/>
      <c r="S24" s="14"/>
      <c r="T24" s="14"/>
      <c r="U24" s="13"/>
      <c r="V24" s="14"/>
      <c r="W24" s="14"/>
      <c r="X24" s="14"/>
      <c r="Y24" s="14"/>
      <c r="Z24" s="14"/>
      <c r="AA24" s="14"/>
      <c r="AB24" s="22"/>
    </row>
    <row r="25" spans="2:28" x14ac:dyDescent="0.2">
      <c r="B25" s="21"/>
      <c r="C25" s="14"/>
      <c r="D25" s="14"/>
      <c r="E25" s="13"/>
      <c r="F25" s="14"/>
      <c r="G25" s="14"/>
      <c r="H25" s="14"/>
      <c r="I25" s="14"/>
      <c r="J25" s="14"/>
      <c r="K25" s="14"/>
      <c r="L25" s="14"/>
      <c r="M25" s="14"/>
      <c r="N25" s="13"/>
      <c r="O25" s="14"/>
      <c r="P25" s="14"/>
      <c r="Q25" s="14"/>
      <c r="R25" s="14"/>
      <c r="S25" s="14"/>
      <c r="T25" s="14"/>
      <c r="U25" s="13"/>
      <c r="V25" s="14"/>
      <c r="W25" s="14"/>
      <c r="X25" s="14"/>
      <c r="Y25" s="14"/>
      <c r="Z25" s="14"/>
      <c r="AA25" s="14"/>
      <c r="AB25" s="22"/>
    </row>
    <row r="26" spans="2:28" x14ac:dyDescent="0.2">
      <c r="B26" s="21"/>
      <c r="C26" s="14"/>
      <c r="D26" s="14"/>
      <c r="E26" s="167" t="s">
        <v>130</v>
      </c>
      <c r="F26" s="80" t="s">
        <v>64</v>
      </c>
      <c r="G26" s="165">
        <v>5</v>
      </c>
      <c r="H26" s="86" t="s">
        <v>5</v>
      </c>
      <c r="I26" s="14"/>
      <c r="J26" s="14"/>
      <c r="K26" s="14"/>
      <c r="L26" s="14"/>
      <c r="M26" s="14"/>
      <c r="N26" s="167" t="s">
        <v>131</v>
      </c>
      <c r="O26" s="80" t="s">
        <v>64</v>
      </c>
      <c r="P26" s="165">
        <v>5</v>
      </c>
      <c r="Q26" s="86" t="s">
        <v>5</v>
      </c>
      <c r="R26" s="14"/>
      <c r="S26" s="14"/>
      <c r="T26" s="14"/>
      <c r="U26" s="17"/>
      <c r="V26" s="11"/>
      <c r="W26" s="11"/>
      <c r="X26" s="14"/>
      <c r="Y26" s="14"/>
      <c r="Z26" s="14"/>
      <c r="AA26" s="14"/>
      <c r="AB26" s="22"/>
    </row>
    <row r="27" spans="2:28" x14ac:dyDescent="0.2">
      <c r="B27" s="21"/>
      <c r="C27" s="11"/>
      <c r="D27" s="11"/>
      <c r="E27" s="17"/>
      <c r="F27" s="11"/>
      <c r="G27" s="14"/>
      <c r="H27" s="14"/>
      <c r="I27" s="14"/>
      <c r="J27" s="14"/>
      <c r="K27" s="14"/>
      <c r="L27" s="11"/>
      <c r="M27" s="11"/>
      <c r="N27" s="17"/>
      <c r="O27" s="11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22"/>
    </row>
    <row r="28" spans="2:28" x14ac:dyDescent="0.25">
      <c r="B28" s="21"/>
      <c r="C28" s="128"/>
      <c r="D28" s="128"/>
      <c r="E28" s="128"/>
      <c r="F28" s="128"/>
      <c r="G28" s="14"/>
      <c r="H28" s="14"/>
      <c r="I28" s="14"/>
      <c r="J28" s="14"/>
      <c r="K28" s="14"/>
      <c r="L28" s="128"/>
      <c r="M28" s="128"/>
      <c r="N28" s="128"/>
      <c r="O28" s="128"/>
      <c r="P28" s="14"/>
      <c r="Q28" s="14"/>
      <c r="R28" s="14"/>
      <c r="S28" s="14"/>
      <c r="T28" s="14"/>
      <c r="U28" s="253" t="s">
        <v>132</v>
      </c>
      <c r="V28" s="253"/>
      <c r="W28" s="253"/>
      <c r="X28" s="253"/>
      <c r="Y28" s="254" t="s">
        <v>64</v>
      </c>
      <c r="Z28" s="256">
        <f>G26+P26</f>
        <v>10</v>
      </c>
      <c r="AA28" s="255" t="s">
        <v>5</v>
      </c>
      <c r="AB28" s="22"/>
    </row>
    <row r="29" spans="2:28" x14ac:dyDescent="0.25">
      <c r="B29" s="21"/>
      <c r="C29" s="14"/>
      <c r="D29" s="14"/>
      <c r="E29" s="8"/>
      <c r="F29" s="14"/>
      <c r="G29" s="14"/>
      <c r="H29" s="14"/>
      <c r="I29" s="14"/>
      <c r="J29" s="14"/>
      <c r="K29" s="14"/>
      <c r="L29" s="14"/>
      <c r="M29" s="14"/>
      <c r="N29" s="8"/>
      <c r="O29" s="14"/>
      <c r="P29" s="14"/>
      <c r="Q29" s="14"/>
      <c r="R29" s="14"/>
      <c r="S29" s="14"/>
      <c r="T29" s="14"/>
      <c r="U29" s="253"/>
      <c r="V29" s="253"/>
      <c r="W29" s="253"/>
      <c r="X29" s="253"/>
      <c r="Y29" s="254"/>
      <c r="Z29" s="256"/>
      <c r="AA29" s="255"/>
      <c r="AB29" s="22"/>
    </row>
    <row r="30" spans="2:28" x14ac:dyDescent="0.2">
      <c r="B30" s="21"/>
      <c r="C30" s="14"/>
      <c r="D30" s="14"/>
      <c r="E30" s="13"/>
      <c r="F30" s="14"/>
      <c r="G30" s="14"/>
      <c r="H30" s="14"/>
      <c r="I30" s="14"/>
      <c r="J30" s="14"/>
      <c r="K30" s="14"/>
      <c r="L30" s="14"/>
      <c r="M30" s="14"/>
      <c r="N30" s="13"/>
      <c r="O30" s="14"/>
      <c r="P30" s="14"/>
      <c r="Q30" s="14"/>
      <c r="R30" s="14"/>
      <c r="S30" s="14"/>
      <c r="T30" s="14"/>
      <c r="U30" s="11"/>
      <c r="V30" s="11"/>
      <c r="W30" s="11"/>
      <c r="X30" s="14"/>
      <c r="Y30" s="14"/>
      <c r="Z30" s="14"/>
      <c r="AA30" s="14"/>
      <c r="AB30" s="22"/>
    </row>
    <row r="31" spans="2:28" x14ac:dyDescent="0.25">
      <c r="B31" s="21"/>
      <c r="C31" s="14"/>
      <c r="D31" s="14"/>
      <c r="E31" s="13"/>
      <c r="F31" s="14"/>
      <c r="G31" s="14"/>
      <c r="H31" s="14"/>
      <c r="I31" s="14"/>
      <c r="J31" s="14"/>
      <c r="K31" s="14"/>
      <c r="L31" s="14"/>
      <c r="M31" s="14"/>
      <c r="N31" s="13"/>
      <c r="O31" s="14"/>
      <c r="P31" s="14"/>
      <c r="Q31" s="14"/>
      <c r="R31" s="14"/>
      <c r="S31" s="14"/>
      <c r="T31" s="14"/>
      <c r="U31" s="13"/>
      <c r="V31" s="14"/>
      <c r="W31" s="14"/>
      <c r="X31" s="14"/>
      <c r="Y31" s="14"/>
      <c r="Z31" s="14"/>
      <c r="AA31" s="14"/>
      <c r="AB31" s="22"/>
    </row>
    <row r="32" spans="2:28" x14ac:dyDescent="0.25">
      <c r="B32" s="21"/>
      <c r="C32" s="14"/>
      <c r="D32" s="14"/>
      <c r="E32" s="13"/>
      <c r="F32" s="14"/>
      <c r="G32" s="14"/>
      <c r="H32" s="14"/>
      <c r="I32" s="14"/>
      <c r="J32" s="14"/>
      <c r="K32" s="14"/>
      <c r="L32" s="14"/>
      <c r="M32" s="14"/>
      <c r="N32" s="13"/>
      <c r="O32" s="14"/>
      <c r="P32" s="14"/>
      <c r="Q32" s="14"/>
      <c r="R32" s="14"/>
      <c r="S32" s="14"/>
      <c r="T32" s="14"/>
      <c r="U32" s="13"/>
      <c r="V32" s="14"/>
      <c r="W32" s="14"/>
      <c r="X32" s="14"/>
      <c r="Y32" s="14"/>
      <c r="Z32" s="14"/>
      <c r="AA32" s="14"/>
      <c r="AB32" s="22"/>
    </row>
    <row r="33" spans="2:28" x14ac:dyDescent="0.25">
      <c r="B33" s="21"/>
      <c r="C33" s="14"/>
      <c r="D33" s="14"/>
      <c r="E33" s="17"/>
      <c r="F33" s="11"/>
      <c r="G33" s="11"/>
      <c r="H33" s="11"/>
      <c r="I33" s="11"/>
      <c r="J33" s="11"/>
      <c r="K33" s="11"/>
      <c r="L33" s="11"/>
      <c r="M33" s="11"/>
      <c r="N33" s="13"/>
      <c r="O33" s="14"/>
      <c r="P33" s="14"/>
      <c r="Q33" s="14"/>
      <c r="R33" s="14"/>
      <c r="S33" s="14"/>
      <c r="T33" s="14"/>
      <c r="U33" s="13"/>
      <c r="V33" s="14"/>
      <c r="W33" s="14"/>
      <c r="X33" s="14"/>
      <c r="Y33" s="14"/>
      <c r="Z33" s="14"/>
      <c r="AA33" s="14"/>
      <c r="AB33" s="22"/>
    </row>
    <row r="34" spans="2:28" x14ac:dyDescent="0.25">
      <c r="B34" s="21"/>
      <c r="C34" s="14"/>
      <c r="D34" s="14"/>
      <c r="E34" s="14"/>
      <c r="F34" s="14"/>
      <c r="G34" s="14"/>
      <c r="H34" s="14"/>
      <c r="I34" s="14"/>
      <c r="J34" s="8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3"/>
      <c r="V34" s="14"/>
      <c r="W34" s="14"/>
      <c r="X34" s="14"/>
      <c r="Y34" s="14"/>
      <c r="Z34" s="14"/>
      <c r="AA34" s="14"/>
      <c r="AB34" s="22"/>
    </row>
    <row r="35" spans="2:28" x14ac:dyDescent="0.25">
      <c r="B35" s="21"/>
      <c r="C35" s="14"/>
      <c r="D35" s="14"/>
      <c r="E35" s="14"/>
      <c r="F35" s="14"/>
      <c r="G35" s="14"/>
      <c r="H35" s="14"/>
      <c r="I35" s="14"/>
      <c r="J35" s="13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3"/>
      <c r="V35" s="14"/>
      <c r="W35" s="14"/>
      <c r="X35" s="14"/>
      <c r="Y35" s="14"/>
      <c r="Z35" s="14"/>
      <c r="AA35" s="14"/>
      <c r="AB35" s="22"/>
    </row>
    <row r="36" spans="2:28" x14ac:dyDescent="0.25">
      <c r="B36" s="21"/>
      <c r="C36" s="14"/>
      <c r="D36" s="14"/>
      <c r="E36" s="14"/>
      <c r="F36" s="14"/>
      <c r="G36" s="14"/>
      <c r="H36" s="14"/>
      <c r="I36" s="14"/>
      <c r="J36" s="13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3"/>
      <c r="V36" s="14"/>
      <c r="W36" s="14"/>
      <c r="X36" s="14"/>
      <c r="Y36" s="14"/>
      <c r="Z36" s="14"/>
      <c r="AA36" s="14"/>
      <c r="AB36" s="22"/>
    </row>
    <row r="37" spans="2:28" x14ac:dyDescent="0.25">
      <c r="B37" s="21"/>
      <c r="C37" s="14"/>
      <c r="D37" s="14"/>
      <c r="E37" s="14"/>
      <c r="F37" s="14"/>
      <c r="G37" s="14"/>
      <c r="H37" s="14"/>
      <c r="I37" s="14"/>
      <c r="J37" s="17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3"/>
      <c r="V37" s="14"/>
      <c r="W37" s="14"/>
      <c r="X37" s="14"/>
      <c r="Y37" s="14"/>
      <c r="Z37" s="14"/>
      <c r="AA37" s="14"/>
      <c r="AB37" s="22"/>
    </row>
    <row r="38" spans="2:28" ht="15.6" thickBot="1" x14ac:dyDescent="0.3">
      <c r="B38" s="24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6"/>
    </row>
  </sheetData>
  <mergeCells count="4">
    <mergeCell ref="U28:X29"/>
    <mergeCell ref="Y28:Y29"/>
    <mergeCell ref="AA28:AA29"/>
    <mergeCell ref="Z28:Z29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32"/>
  <sheetViews>
    <sheetView workbookViewId="0"/>
  </sheetViews>
  <sheetFormatPr defaultColWidth="4.44140625" defaultRowHeight="15" x14ac:dyDescent="0.25"/>
  <cols>
    <col min="1" max="1" width="4.33203125" style="1" customWidth="1"/>
    <col min="2" max="2" width="4.44140625" style="1"/>
    <col min="3" max="3" width="5.88671875" style="1" customWidth="1"/>
    <col min="4" max="4" width="4.44140625" style="57"/>
    <col min="5" max="9" width="4.44140625" style="1"/>
    <col min="10" max="10" width="6.6640625" style="1" customWidth="1"/>
    <col min="11" max="12" width="4.44140625" style="1"/>
    <col min="13" max="13" width="6.88671875" style="1" customWidth="1"/>
    <col min="14" max="29" width="4.44140625" style="1"/>
    <col min="30" max="30" width="2.33203125" style="1" customWidth="1"/>
    <col min="31" max="31" width="10.33203125" style="181" customWidth="1"/>
    <col min="32" max="32" width="4.44140625" style="180"/>
    <col min="33" max="33" width="4.44140625" style="179" customWidth="1"/>
    <col min="34" max="34" width="19.33203125" style="52" customWidth="1"/>
    <col min="35" max="16384" width="4.44140625" style="1"/>
  </cols>
  <sheetData>
    <row r="1" spans="2:34" ht="15.75" thickBot="1" x14ac:dyDescent="0.25"/>
    <row r="2" spans="2:34" x14ac:dyDescent="0.2">
      <c r="B2" s="18"/>
      <c r="C2" s="19"/>
      <c r="D2" s="184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85"/>
      <c r="AF2" s="186"/>
      <c r="AG2" s="187"/>
      <c r="AH2" s="62"/>
    </row>
    <row r="3" spans="2:34" x14ac:dyDescent="0.2">
      <c r="B3" s="21"/>
      <c r="C3" s="14"/>
      <c r="D3" s="80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78"/>
      <c r="AF3" s="188"/>
      <c r="AG3" s="149"/>
      <c r="AH3" s="65"/>
    </row>
    <row r="4" spans="2:34" x14ac:dyDescent="0.2">
      <c r="B4" s="21"/>
      <c r="C4" s="14"/>
      <c r="D4" s="80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78"/>
      <c r="AF4" s="188"/>
      <c r="AG4" s="149"/>
      <c r="AH4" s="65"/>
    </row>
    <row r="5" spans="2:34" x14ac:dyDescent="0.2">
      <c r="B5" s="21"/>
      <c r="C5" s="14"/>
      <c r="D5" s="80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78"/>
      <c r="AF5" s="188"/>
      <c r="AG5" s="149"/>
      <c r="AH5" s="65"/>
    </row>
    <row r="6" spans="2:34" x14ac:dyDescent="0.25">
      <c r="B6" s="21"/>
      <c r="C6" s="14"/>
      <c r="D6" s="80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83">
        <f>AE8*SQRT(2)</f>
        <v>537.40115370177614</v>
      </c>
      <c r="AF6" s="195" t="s">
        <v>0</v>
      </c>
      <c r="AG6" s="196" t="s">
        <v>64</v>
      </c>
      <c r="AH6" s="197" t="s">
        <v>142</v>
      </c>
    </row>
    <row r="7" spans="2:34" x14ac:dyDescent="0.2">
      <c r="B7" s="21"/>
      <c r="C7" s="14"/>
      <c r="D7" s="80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82"/>
      <c r="AF7" s="188"/>
      <c r="AG7" s="149"/>
      <c r="AH7" s="65"/>
    </row>
    <row r="8" spans="2:34" x14ac:dyDescent="0.25">
      <c r="B8" s="78"/>
      <c r="C8" s="31">
        <v>380</v>
      </c>
      <c r="D8" s="205" t="s">
        <v>0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224">
        <f>C8</f>
        <v>380</v>
      </c>
      <c r="AF8" s="198" t="s">
        <v>139</v>
      </c>
      <c r="AG8" s="199" t="s">
        <v>64</v>
      </c>
      <c r="AH8" s="200" t="s">
        <v>141</v>
      </c>
    </row>
    <row r="9" spans="2:34" x14ac:dyDescent="0.25">
      <c r="B9" s="21"/>
      <c r="C9" s="31">
        <v>7</v>
      </c>
      <c r="D9" s="23" t="s">
        <v>138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83">
        <f>AE6*0.637</f>
        <v>342.32453490803141</v>
      </c>
      <c r="AF9" s="201" t="s">
        <v>139</v>
      </c>
      <c r="AG9" s="202" t="s">
        <v>64</v>
      </c>
      <c r="AH9" s="203" t="s">
        <v>140</v>
      </c>
    </row>
    <row r="10" spans="2:34" x14ac:dyDescent="0.2">
      <c r="B10" s="21"/>
      <c r="C10" s="14"/>
      <c r="D10" s="80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78"/>
      <c r="AF10" s="188"/>
      <c r="AG10" s="149"/>
      <c r="AH10" s="65"/>
    </row>
    <row r="11" spans="2:34" x14ac:dyDescent="0.2">
      <c r="B11" s="21"/>
      <c r="C11" s="14"/>
      <c r="D11" s="80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78"/>
      <c r="AF11" s="188"/>
      <c r="AG11" s="149"/>
      <c r="AH11" s="65"/>
    </row>
    <row r="12" spans="2:34" x14ac:dyDescent="0.2">
      <c r="B12" s="21"/>
      <c r="C12" s="14"/>
      <c r="D12" s="80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78"/>
      <c r="AF12" s="188"/>
      <c r="AG12" s="149"/>
      <c r="AH12" s="65"/>
    </row>
    <row r="13" spans="2:34" x14ac:dyDescent="0.2">
      <c r="B13" s="21"/>
      <c r="C13" s="14"/>
      <c r="D13" s="80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78"/>
      <c r="AF13" s="188"/>
      <c r="AG13" s="149"/>
      <c r="AH13" s="65"/>
    </row>
    <row r="14" spans="2:34" x14ac:dyDescent="0.25">
      <c r="B14" s="21"/>
      <c r="C14" s="14"/>
      <c r="D14" s="257">
        <v>0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78"/>
      <c r="AF14" s="188"/>
      <c r="AG14" s="149"/>
      <c r="AH14" s="65"/>
    </row>
    <row r="15" spans="2:34" x14ac:dyDescent="0.25">
      <c r="B15" s="21"/>
      <c r="C15" s="14"/>
      <c r="D15" s="257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78"/>
      <c r="AF15" s="188"/>
      <c r="AG15" s="149"/>
      <c r="AH15" s="65"/>
    </row>
    <row r="16" spans="2:34" x14ac:dyDescent="0.2">
      <c r="B16" s="21"/>
      <c r="C16" s="14"/>
      <c r="D16" s="8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78"/>
      <c r="AF16" s="188"/>
      <c r="AG16" s="149"/>
      <c r="AH16" s="65"/>
    </row>
    <row r="17" spans="2:34" x14ac:dyDescent="0.2">
      <c r="B17" s="21"/>
      <c r="C17" s="14"/>
      <c r="D17" s="80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78"/>
      <c r="AF17" s="188"/>
      <c r="AG17" s="149"/>
      <c r="AH17" s="65"/>
    </row>
    <row r="18" spans="2:34" x14ac:dyDescent="0.2">
      <c r="B18" s="21"/>
      <c r="C18" s="14"/>
      <c r="D18" s="80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78"/>
      <c r="AF18" s="188"/>
      <c r="AG18" s="149"/>
      <c r="AH18" s="65"/>
    </row>
    <row r="19" spans="2:34" x14ac:dyDescent="0.2">
      <c r="B19" s="21"/>
      <c r="C19" s="14"/>
      <c r="D19" s="80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78"/>
      <c r="AF19" s="188"/>
      <c r="AG19" s="149"/>
      <c r="AH19" s="65"/>
    </row>
    <row r="20" spans="2:34" x14ac:dyDescent="0.2">
      <c r="B20" s="21"/>
      <c r="C20" s="14"/>
      <c r="D20" s="80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78"/>
      <c r="AF20" s="188"/>
      <c r="AG20" s="149"/>
      <c r="AH20" s="65"/>
    </row>
    <row r="21" spans="2:34" x14ac:dyDescent="0.2">
      <c r="B21" s="21"/>
      <c r="C21" s="14"/>
      <c r="D21" s="80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78"/>
      <c r="AF21" s="188"/>
      <c r="AG21" s="149"/>
      <c r="AH21" s="65"/>
    </row>
    <row r="22" spans="2:34" x14ac:dyDescent="0.2">
      <c r="B22" s="21"/>
      <c r="C22" s="14"/>
      <c r="D22" s="80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78"/>
      <c r="AF22" s="188"/>
      <c r="AG22" s="149"/>
      <c r="AH22" s="65"/>
    </row>
    <row r="23" spans="2:34" x14ac:dyDescent="0.25">
      <c r="B23" s="21"/>
      <c r="C23" s="14"/>
      <c r="D23" s="80"/>
      <c r="E23" s="14"/>
      <c r="F23" s="14"/>
      <c r="G23" s="14"/>
      <c r="H23" s="14"/>
      <c r="I23" s="14"/>
      <c r="J23" s="2"/>
      <c r="K23" s="14"/>
      <c r="L23" s="14"/>
      <c r="M23" s="2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258">
        <f>AE6*2</f>
        <v>1074.8023074035523</v>
      </c>
      <c r="AF23" s="259" t="s">
        <v>0</v>
      </c>
      <c r="AG23" s="260" t="s">
        <v>64</v>
      </c>
      <c r="AH23" s="261" t="s">
        <v>145</v>
      </c>
    </row>
    <row r="24" spans="2:34" x14ac:dyDescent="0.25">
      <c r="B24" s="21"/>
      <c r="C24" s="14"/>
      <c r="D24" s="80"/>
      <c r="E24" s="14"/>
      <c r="F24" s="14"/>
      <c r="G24" s="14"/>
      <c r="H24" s="14"/>
      <c r="I24" s="14"/>
      <c r="J24" s="2"/>
      <c r="K24" s="14"/>
      <c r="L24" s="14"/>
      <c r="M24" s="2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258"/>
      <c r="AF24" s="259"/>
      <c r="AG24" s="260"/>
      <c r="AH24" s="261"/>
    </row>
    <row r="25" spans="2:34" x14ac:dyDescent="0.2">
      <c r="B25" s="21"/>
      <c r="C25" s="14"/>
      <c r="D25" s="80"/>
      <c r="E25" s="14"/>
      <c r="F25" s="14"/>
      <c r="G25" s="14"/>
      <c r="H25" s="14"/>
      <c r="I25" s="14"/>
      <c r="J25" s="2"/>
      <c r="K25" s="14"/>
      <c r="L25" s="14"/>
      <c r="M25" s="2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78"/>
      <c r="AF25" s="188"/>
      <c r="AG25" s="149"/>
      <c r="AH25" s="65"/>
    </row>
    <row r="26" spans="2:34" x14ac:dyDescent="0.2">
      <c r="B26" s="21"/>
      <c r="C26" s="14"/>
      <c r="D26" s="80"/>
      <c r="E26" s="14"/>
      <c r="F26" s="14"/>
      <c r="G26" s="14"/>
      <c r="H26" s="14"/>
      <c r="I26" s="14"/>
      <c r="J26" s="2"/>
      <c r="K26" s="14"/>
      <c r="L26" s="14"/>
      <c r="M26" s="2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78"/>
      <c r="AF26" s="188"/>
      <c r="AG26" s="149"/>
      <c r="AH26" s="65"/>
    </row>
    <row r="27" spans="2:34" x14ac:dyDescent="0.2">
      <c r="B27" s="21"/>
      <c r="C27" s="14"/>
      <c r="D27" s="80"/>
      <c r="E27" s="14"/>
      <c r="F27" s="14"/>
      <c r="G27" s="14"/>
      <c r="H27" s="14"/>
      <c r="I27" s="14"/>
      <c r="J27" s="2"/>
      <c r="K27" s="14"/>
      <c r="L27" s="14"/>
      <c r="M27" s="2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78"/>
      <c r="AF27" s="188"/>
      <c r="AG27" s="149"/>
      <c r="AH27" s="65"/>
    </row>
    <row r="28" spans="2:34" x14ac:dyDescent="0.2">
      <c r="B28" s="21"/>
      <c r="C28" s="14"/>
      <c r="D28" s="80"/>
      <c r="E28" s="14"/>
      <c r="F28" s="14"/>
      <c r="G28" s="14"/>
      <c r="H28" s="14"/>
      <c r="I28" s="14"/>
      <c r="J28" s="2"/>
      <c r="K28" s="14"/>
      <c r="L28" s="14"/>
      <c r="M28" s="2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78"/>
      <c r="AF28" s="188"/>
      <c r="AG28" s="149"/>
      <c r="AH28" s="65"/>
    </row>
    <row r="29" spans="2:34" x14ac:dyDescent="0.2">
      <c r="B29" s="21"/>
      <c r="C29" s="14"/>
      <c r="D29" s="80"/>
      <c r="E29" s="14"/>
      <c r="F29" s="14"/>
      <c r="G29" s="14"/>
      <c r="H29" s="14"/>
      <c r="I29" s="14"/>
      <c r="J29" s="204">
        <f>1/C9</f>
        <v>0.14285714285714285</v>
      </c>
      <c r="K29" s="193" t="s">
        <v>143</v>
      </c>
      <c r="L29" s="149" t="s">
        <v>64</v>
      </c>
      <c r="M29" s="177">
        <f>J29*1000</f>
        <v>142.85714285714286</v>
      </c>
      <c r="N29" s="194" t="s">
        <v>144</v>
      </c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78"/>
      <c r="AF29" s="188"/>
      <c r="AG29" s="149"/>
      <c r="AH29" s="65"/>
    </row>
    <row r="30" spans="2:34" ht="15.75" thickBot="1" x14ac:dyDescent="0.25">
      <c r="B30" s="24"/>
      <c r="C30" s="25"/>
      <c r="D30" s="189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190"/>
      <c r="AF30" s="191"/>
      <c r="AG30" s="192"/>
      <c r="AH30" s="70"/>
    </row>
    <row r="32" spans="2:34" ht="15.6" x14ac:dyDescent="0.3">
      <c r="B32" s="1" t="s">
        <v>147</v>
      </c>
      <c r="D32" s="207" t="s">
        <v>148</v>
      </c>
    </row>
  </sheetData>
  <mergeCells count="5">
    <mergeCell ref="D14:D15"/>
    <mergeCell ref="AE23:AE24"/>
    <mergeCell ref="AF23:AF24"/>
    <mergeCell ref="AG23:AG24"/>
    <mergeCell ref="AH23:AH24"/>
  </mergeCells>
  <hyperlinks>
    <hyperlink ref="D32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5"/>
  <sheetViews>
    <sheetView workbookViewId="0"/>
  </sheetViews>
  <sheetFormatPr defaultColWidth="4.33203125" defaultRowHeight="15" x14ac:dyDescent="0.25"/>
  <cols>
    <col min="1" max="8" width="4.33203125" style="1"/>
    <col min="9" max="9" width="10.5546875" style="1" bestFit="1" customWidth="1"/>
    <col min="10" max="10" width="4.44140625" style="1" customWidth="1"/>
    <col min="11" max="16384" width="4.33203125" style="1"/>
  </cols>
  <sheetData>
    <row r="2" spans="2:14" x14ac:dyDescent="0.25"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0"/>
    </row>
    <row r="3" spans="2:14" x14ac:dyDescent="0.25">
      <c r="B3" s="13"/>
      <c r="C3" s="86" t="s">
        <v>162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6"/>
    </row>
    <row r="4" spans="2:14" x14ac:dyDescent="0.25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6"/>
    </row>
    <row r="5" spans="2:14" ht="15.6" customHeight="1" x14ac:dyDescent="0.25">
      <c r="B5" s="13"/>
      <c r="C5" s="14" t="s">
        <v>166</v>
      </c>
      <c r="D5" s="14"/>
      <c r="E5" s="14"/>
      <c r="F5" s="14"/>
      <c r="G5" s="14"/>
      <c r="H5" s="14"/>
      <c r="I5" s="238">
        <v>120</v>
      </c>
      <c r="J5" s="238"/>
      <c r="K5" s="14"/>
      <c r="L5" s="86" t="s">
        <v>163</v>
      </c>
      <c r="M5" s="14"/>
      <c r="N5" s="16"/>
    </row>
    <row r="6" spans="2:14" x14ac:dyDescent="0.25"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6"/>
    </row>
    <row r="7" spans="2:14" ht="15.6" customHeight="1" x14ac:dyDescent="0.25">
      <c r="B7" s="13"/>
      <c r="C7" s="64" t="s">
        <v>165</v>
      </c>
      <c r="D7" s="14"/>
      <c r="E7" s="14"/>
      <c r="F7" s="14"/>
      <c r="G7" s="14"/>
      <c r="H7" s="14"/>
      <c r="I7" s="239">
        <f>I5*60</f>
        <v>7200</v>
      </c>
      <c r="J7" s="239"/>
      <c r="K7" s="14"/>
      <c r="L7" s="27" t="s">
        <v>164</v>
      </c>
      <c r="M7" s="14"/>
      <c r="N7" s="16"/>
    </row>
    <row r="8" spans="2:14" x14ac:dyDescent="0.25">
      <c r="B8" s="17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2"/>
    </row>
    <row r="11" spans="2:14" x14ac:dyDescent="0.25"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</row>
    <row r="12" spans="2:14" x14ac:dyDescent="0.25">
      <c r="B12" s="13"/>
      <c r="C12" s="86" t="s">
        <v>162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6"/>
    </row>
    <row r="13" spans="2:14" x14ac:dyDescent="0.25"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6"/>
    </row>
    <row r="14" spans="2:14" ht="15.6" customHeight="1" x14ac:dyDescent="0.25">
      <c r="B14" s="13"/>
      <c r="C14" s="14" t="s">
        <v>177</v>
      </c>
      <c r="D14" s="14"/>
      <c r="E14" s="14"/>
      <c r="F14" s="14"/>
      <c r="G14" s="14"/>
      <c r="H14" s="14"/>
      <c r="I14" s="238">
        <v>230</v>
      </c>
      <c r="J14" s="238"/>
      <c r="K14" s="14"/>
      <c r="L14" s="86" t="s">
        <v>0</v>
      </c>
      <c r="M14" s="14"/>
      <c r="N14" s="16"/>
    </row>
    <row r="15" spans="2:14" x14ac:dyDescent="0.25"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6"/>
    </row>
    <row r="16" spans="2:14" ht="15.6" customHeight="1" x14ac:dyDescent="0.25">
      <c r="B16" s="13"/>
      <c r="C16" s="14" t="s">
        <v>178</v>
      </c>
      <c r="D16" s="14"/>
      <c r="E16" s="14"/>
      <c r="F16" s="14"/>
      <c r="G16" s="14"/>
      <c r="H16" s="14"/>
      <c r="I16" s="238">
        <v>20</v>
      </c>
      <c r="J16" s="238"/>
      <c r="K16" s="14"/>
      <c r="L16" s="86" t="s">
        <v>2</v>
      </c>
      <c r="M16" s="14"/>
      <c r="N16" s="16"/>
    </row>
    <row r="17" spans="2:14" x14ac:dyDescent="0.25"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6"/>
    </row>
    <row r="18" spans="2:14" ht="15.6" customHeight="1" x14ac:dyDescent="0.25">
      <c r="B18" s="13"/>
      <c r="C18" s="14" t="s">
        <v>168</v>
      </c>
      <c r="D18" s="14"/>
      <c r="E18" s="14"/>
      <c r="F18" s="14"/>
      <c r="G18" s="14"/>
      <c r="H18" s="14"/>
      <c r="I18" s="238">
        <v>0.6</v>
      </c>
      <c r="J18" s="238"/>
      <c r="K18" s="2"/>
      <c r="L18" s="14"/>
      <c r="M18" s="14"/>
      <c r="N18" s="16"/>
    </row>
    <row r="19" spans="2:14" x14ac:dyDescent="0.25"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6"/>
    </row>
    <row r="20" spans="2:14" ht="15.6" customHeight="1" x14ac:dyDescent="0.25">
      <c r="B20" s="13"/>
      <c r="C20" s="64" t="s">
        <v>174</v>
      </c>
      <c r="D20" s="14"/>
      <c r="E20" s="14"/>
      <c r="F20" s="14"/>
      <c r="G20" s="14"/>
      <c r="H20" s="14"/>
      <c r="I20" s="239">
        <f>I14*I16/1000</f>
        <v>4.5999999999999996</v>
      </c>
      <c r="J20" s="239"/>
      <c r="K20" s="14"/>
      <c r="L20" s="27" t="s">
        <v>173</v>
      </c>
      <c r="M20" s="14"/>
      <c r="N20" s="16"/>
    </row>
    <row r="21" spans="2:14" x14ac:dyDescent="0.25">
      <c r="B21" s="13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6"/>
    </row>
    <row r="22" spans="2:14" ht="15.6" customHeight="1" x14ac:dyDescent="0.25">
      <c r="B22" s="13"/>
      <c r="C22" s="64" t="s">
        <v>175</v>
      </c>
      <c r="D22" s="14"/>
      <c r="E22" s="14"/>
      <c r="F22" s="14"/>
      <c r="G22" s="14"/>
      <c r="H22" s="14"/>
      <c r="I22" s="262">
        <f>I20*I18</f>
        <v>2.76</v>
      </c>
      <c r="J22" s="262"/>
      <c r="K22" s="2"/>
      <c r="L22" s="27" t="s">
        <v>167</v>
      </c>
      <c r="M22" s="14"/>
      <c r="N22" s="16"/>
    </row>
    <row r="23" spans="2:14" x14ac:dyDescent="0.25"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6"/>
    </row>
    <row r="24" spans="2:14" x14ac:dyDescent="0.25">
      <c r="B24" s="13"/>
      <c r="C24" s="64" t="s">
        <v>176</v>
      </c>
      <c r="D24" s="14"/>
      <c r="E24" s="14"/>
      <c r="F24" s="14"/>
      <c r="G24" s="14"/>
      <c r="H24" s="14"/>
      <c r="I24" s="262">
        <f>SQRT(1-(I18)*(I18))*I20</f>
        <v>3.6799999999999997</v>
      </c>
      <c r="J24" s="262"/>
      <c r="K24" s="2"/>
      <c r="L24" s="27" t="s">
        <v>173</v>
      </c>
      <c r="M24" s="14"/>
      <c r="N24" s="16"/>
    </row>
    <row r="25" spans="2:14" x14ac:dyDescent="0.25">
      <c r="B25" s="17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2"/>
    </row>
  </sheetData>
  <mergeCells count="8">
    <mergeCell ref="I24:J24"/>
    <mergeCell ref="I7:J7"/>
    <mergeCell ref="I5:J5"/>
    <mergeCell ref="I20:J20"/>
    <mergeCell ref="I18:J18"/>
    <mergeCell ref="I22:J22"/>
    <mergeCell ref="I14:J14"/>
    <mergeCell ref="I16:J16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9"/>
  <sheetViews>
    <sheetView workbookViewId="0"/>
  </sheetViews>
  <sheetFormatPr defaultColWidth="4.33203125" defaultRowHeight="15" x14ac:dyDescent="0.25"/>
  <cols>
    <col min="1" max="8" width="4.33203125" style="1"/>
    <col min="9" max="9" width="4.88671875" style="1" customWidth="1"/>
    <col min="10" max="10" width="4.33203125" style="1"/>
    <col min="11" max="11" width="4.6640625" style="1" bestFit="1" customWidth="1"/>
    <col min="12" max="17" width="4.33203125" style="1"/>
    <col min="18" max="18" width="4.6640625" style="1" bestFit="1" customWidth="1"/>
    <col min="19" max="16384" width="4.33203125" style="1"/>
  </cols>
  <sheetData>
    <row r="2" spans="2:13" x14ac:dyDescent="0.25"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10"/>
    </row>
    <row r="3" spans="2:13" ht="15.6" customHeight="1" x14ac:dyDescent="0.25">
      <c r="B3" s="136"/>
      <c r="C3" s="14" t="s">
        <v>169</v>
      </c>
      <c r="D3" s="14"/>
      <c r="E3" s="14"/>
      <c r="F3" s="14"/>
      <c r="G3" s="14"/>
      <c r="H3" s="14"/>
      <c r="I3" s="14"/>
      <c r="J3" s="264">
        <v>230</v>
      </c>
      <c r="K3" s="264"/>
      <c r="L3" s="233" t="s">
        <v>0</v>
      </c>
      <c r="M3" s="16"/>
    </row>
    <row r="4" spans="2:13" x14ac:dyDescent="0.25">
      <c r="B4" s="13"/>
      <c r="C4" s="14"/>
      <c r="D4" s="14"/>
      <c r="E4" s="14"/>
      <c r="F4" s="14"/>
      <c r="G4" s="14"/>
      <c r="H4" s="14"/>
      <c r="I4" s="14"/>
      <c r="J4" s="14"/>
      <c r="K4" s="14"/>
      <c r="L4" s="160"/>
      <c r="M4" s="16"/>
    </row>
    <row r="5" spans="2:13" ht="15.6" customHeight="1" x14ac:dyDescent="0.25">
      <c r="B5" s="13"/>
      <c r="C5" s="64" t="s">
        <v>170</v>
      </c>
      <c r="D5" s="14"/>
      <c r="E5" s="14"/>
      <c r="F5" s="14"/>
      <c r="G5" s="14"/>
      <c r="H5" s="14"/>
      <c r="I5" s="14"/>
      <c r="J5" s="263">
        <f>SQRT(2)*J3</f>
        <v>325.26911934581187</v>
      </c>
      <c r="K5" s="263"/>
      <c r="L5" s="234" t="s">
        <v>0</v>
      </c>
      <c r="M5" s="16"/>
    </row>
    <row r="6" spans="2:13" ht="15.6" customHeight="1" x14ac:dyDescent="0.25">
      <c r="B6" s="17"/>
      <c r="C6" s="11"/>
      <c r="D6" s="11"/>
      <c r="E6" s="11"/>
      <c r="F6" s="11"/>
      <c r="G6" s="11"/>
      <c r="H6" s="11"/>
      <c r="I6" s="11"/>
      <c r="J6" s="11"/>
      <c r="K6" s="11"/>
      <c r="L6" s="11"/>
      <c r="M6" s="12"/>
    </row>
    <row r="8" spans="2:13" ht="15.6" customHeight="1" x14ac:dyDescent="0.25"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10"/>
    </row>
    <row r="9" spans="2:13" ht="15.6" customHeight="1" x14ac:dyDescent="0.25">
      <c r="B9" s="13"/>
      <c r="C9" s="14" t="s">
        <v>172</v>
      </c>
      <c r="D9" s="14"/>
      <c r="E9" s="14"/>
      <c r="F9" s="14"/>
      <c r="G9" s="14"/>
      <c r="H9" s="14"/>
      <c r="I9" s="14"/>
      <c r="J9" s="264">
        <v>230</v>
      </c>
      <c r="K9" s="264"/>
      <c r="L9" s="86" t="s">
        <v>0</v>
      </c>
      <c r="M9" s="16"/>
    </row>
    <row r="10" spans="2:13" x14ac:dyDescent="0.2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6"/>
    </row>
    <row r="11" spans="2:13" ht="15.6" customHeight="1" x14ac:dyDescent="0.25">
      <c r="B11" s="13"/>
      <c r="C11" s="64" t="s">
        <v>171</v>
      </c>
      <c r="D11" s="14"/>
      <c r="E11" s="14"/>
      <c r="F11" s="14"/>
      <c r="G11" s="14"/>
      <c r="H11" s="14"/>
      <c r="I11" s="14"/>
      <c r="J11" s="263">
        <f>1.732*J9</f>
        <v>398.36</v>
      </c>
      <c r="K11" s="263"/>
      <c r="L11" s="27" t="s">
        <v>0</v>
      </c>
      <c r="M11" s="16"/>
    </row>
    <row r="12" spans="2:13" x14ac:dyDescent="0.25">
      <c r="B12" s="17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2"/>
    </row>
    <row r="17" ht="15.6" customHeight="1" x14ac:dyDescent="0.25"/>
    <row r="19" ht="15.6" customHeight="1" x14ac:dyDescent="0.25"/>
  </sheetData>
  <mergeCells count="4">
    <mergeCell ref="J5:K5"/>
    <mergeCell ref="J3:K3"/>
    <mergeCell ref="J11:K11"/>
    <mergeCell ref="J9:K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"/>
  <sheetViews>
    <sheetView workbookViewId="0"/>
  </sheetViews>
  <sheetFormatPr defaultColWidth="9.109375" defaultRowHeight="15" x14ac:dyDescent="0.25"/>
  <cols>
    <col min="1" max="1" width="3.5546875" style="1" customWidth="1"/>
    <col min="2" max="2" width="91.5546875" style="1" bestFit="1" customWidth="1"/>
    <col min="3" max="16384" width="9.109375" style="1"/>
  </cols>
  <sheetData>
    <row r="2" spans="2:2" ht="15.75" x14ac:dyDescent="0.25">
      <c r="B2" s="74" t="s">
        <v>94</v>
      </c>
    </row>
    <row r="4" spans="2:2" ht="15.75" x14ac:dyDescent="0.25">
      <c r="B4" s="74" t="s">
        <v>128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0"/>
  <sheetViews>
    <sheetView workbookViewId="0"/>
  </sheetViews>
  <sheetFormatPr defaultColWidth="9.109375" defaultRowHeight="13.2" x14ac:dyDescent="0.25"/>
  <cols>
    <col min="1" max="1" width="9.109375" style="50"/>
    <col min="2" max="2" width="16.6640625" style="50" customWidth="1"/>
    <col min="3" max="3" width="16.44140625" style="50" customWidth="1"/>
    <col min="4" max="5" width="9.109375" style="50"/>
    <col min="6" max="6" width="13.6640625" style="50" bestFit="1" customWidth="1"/>
    <col min="7" max="7" width="21.6640625" style="50" customWidth="1"/>
    <col min="8" max="9" width="9.109375" style="50"/>
    <col min="10" max="10" width="11" style="50" bestFit="1" customWidth="1"/>
    <col min="11" max="16384" width="9.109375" style="50"/>
  </cols>
  <sheetData>
    <row r="2" spans="2:12" ht="15" x14ac:dyDescent="0.2">
      <c r="B2" s="50" t="b">
        <f>IF('2 Elektrický odpor'!B3="Striebro",0.000000016)</f>
        <v>0</v>
      </c>
      <c r="C2" s="50">
        <f t="shared" ref="C2:C7" si="0">IF(B2=FALSE,0,B2)</f>
        <v>0</v>
      </c>
      <c r="F2" s="1"/>
      <c r="G2" s="1"/>
      <c r="H2" s="1"/>
      <c r="I2" s="1"/>
      <c r="J2" s="1"/>
      <c r="K2" s="1"/>
      <c r="L2" s="1"/>
    </row>
    <row r="3" spans="2:12" ht="15" x14ac:dyDescent="0.2">
      <c r="B3" s="50" t="b">
        <f>IF('2 Elektrický odpor'!B3="Zlato",0.000000022)</f>
        <v>0</v>
      </c>
      <c r="C3" s="50">
        <f t="shared" si="0"/>
        <v>0</v>
      </c>
      <c r="F3" s="1"/>
      <c r="G3" s="1"/>
      <c r="H3" s="1"/>
      <c r="I3" s="1"/>
      <c r="J3" s="1"/>
      <c r="K3" s="1"/>
      <c r="L3" s="1"/>
    </row>
    <row r="4" spans="2:12" ht="15" x14ac:dyDescent="0.2">
      <c r="B4" s="54" t="b">
        <f>IF('2 Elektrický odpor'!B3="Meď",0.0000000179)</f>
        <v>0</v>
      </c>
      <c r="C4" s="54">
        <f t="shared" si="0"/>
        <v>0</v>
      </c>
      <c r="F4" s="1"/>
      <c r="G4" s="1"/>
      <c r="H4" s="1"/>
      <c r="I4" s="1"/>
      <c r="J4" s="1"/>
      <c r="K4" s="1"/>
      <c r="L4" s="1"/>
    </row>
    <row r="5" spans="2:12" ht="15" x14ac:dyDescent="0.2">
      <c r="B5" s="50" t="b">
        <f>IF('2 Elektrický odpor'!B3="Hliník",0.000000027)</f>
        <v>0</v>
      </c>
      <c r="C5" s="50">
        <f t="shared" si="0"/>
        <v>0</v>
      </c>
      <c r="F5" s="1"/>
      <c r="G5" s="1"/>
      <c r="H5" s="1"/>
      <c r="I5" s="1"/>
      <c r="J5" s="1"/>
      <c r="K5" s="1"/>
      <c r="L5" s="1"/>
    </row>
    <row r="6" spans="2:12" ht="15" x14ac:dyDescent="0.2">
      <c r="B6" s="50" t="b">
        <f>IF('2 Elektrický odpor'!B3="Železo",0.000000098)</f>
        <v>0</v>
      </c>
      <c r="C6" s="50">
        <f t="shared" si="0"/>
        <v>0</v>
      </c>
      <c r="F6" s="1"/>
      <c r="G6" s="1"/>
      <c r="H6" s="1"/>
      <c r="I6" s="1"/>
      <c r="J6" s="1"/>
      <c r="K6" s="1"/>
      <c r="L6" s="1"/>
    </row>
    <row r="7" spans="2:12" ht="15" x14ac:dyDescent="0.2">
      <c r="B7" s="50">
        <f>IF('2 Elektrický odpor'!B3="Konštantán",0.0000005)</f>
        <v>4.9999999999999998E-7</v>
      </c>
      <c r="C7" s="50">
        <f t="shared" si="0"/>
        <v>4.9999999999999998E-7</v>
      </c>
      <c r="F7" s="1"/>
      <c r="G7" s="1"/>
      <c r="H7" s="1"/>
      <c r="I7" s="1"/>
      <c r="J7" s="1"/>
      <c r="K7" s="1"/>
      <c r="L7" s="1"/>
    </row>
    <row r="8" spans="2:12" ht="15" x14ac:dyDescent="0.2">
      <c r="C8" s="54">
        <f>SUM(C2:C7)</f>
        <v>4.9999999999999998E-7</v>
      </c>
      <c r="F8" s="1"/>
      <c r="G8" s="1"/>
      <c r="H8" s="1"/>
      <c r="I8" s="1"/>
      <c r="J8" s="1"/>
      <c r="K8" s="1"/>
      <c r="L8" s="1"/>
    </row>
    <row r="9" spans="2:12" ht="15" x14ac:dyDescent="0.2">
      <c r="F9" s="1"/>
      <c r="G9" s="1"/>
      <c r="H9" s="1"/>
      <c r="I9" s="1"/>
      <c r="J9" s="1"/>
      <c r="K9" s="1"/>
      <c r="L9" s="1"/>
    </row>
    <row r="10" spans="2:12" ht="15" x14ac:dyDescent="0.2">
      <c r="F10" s="1"/>
      <c r="G10" s="1"/>
      <c r="H10" s="1"/>
      <c r="I10" s="1"/>
      <c r="J10" s="1"/>
      <c r="K10" s="1"/>
      <c r="L10" s="1"/>
    </row>
    <row r="11" spans="2:12" ht="15" x14ac:dyDescent="0.2">
      <c r="B11" s="50">
        <f>IF('2 Elektrický odpor'!B12="Striebro",0.000000016)</f>
        <v>1.6000000000000001E-8</v>
      </c>
      <c r="C11" s="50">
        <f t="shared" ref="C11:C16" si="1">IF(B11=FALSE,0,B11)</f>
        <v>1.6000000000000001E-8</v>
      </c>
      <c r="F11" s="1"/>
      <c r="G11" s="1"/>
      <c r="H11" s="1"/>
      <c r="I11" s="1"/>
      <c r="J11" s="1"/>
      <c r="K11" s="1"/>
      <c r="L11" s="1"/>
    </row>
    <row r="12" spans="2:12" ht="15" x14ac:dyDescent="0.2">
      <c r="B12" s="50" t="b">
        <f>IF('2 Elektrický odpor'!B12="Zlato",0.000000022)</f>
        <v>0</v>
      </c>
      <c r="C12" s="50">
        <f t="shared" si="1"/>
        <v>0</v>
      </c>
      <c r="F12" s="1"/>
      <c r="G12" s="1"/>
      <c r="H12" s="1"/>
      <c r="I12" s="1"/>
      <c r="J12" s="1"/>
      <c r="K12" s="1"/>
      <c r="L12" s="1"/>
    </row>
    <row r="13" spans="2:12" ht="15" x14ac:dyDescent="0.2">
      <c r="B13" s="54" t="b">
        <f>IF('2 Elektrický odpor'!B12="Meď",0.0000000179)</f>
        <v>0</v>
      </c>
      <c r="C13" s="54">
        <f t="shared" si="1"/>
        <v>0</v>
      </c>
      <c r="F13" s="1"/>
      <c r="G13" s="1"/>
      <c r="H13" s="1"/>
      <c r="I13" s="1"/>
      <c r="J13" s="1"/>
      <c r="K13" s="1"/>
      <c r="L13" s="1"/>
    </row>
    <row r="14" spans="2:12" ht="12.75" x14ac:dyDescent="0.2">
      <c r="B14" s="50" t="b">
        <f>IF('2 Elektrický odpor'!B12="Hliník",0.000000027)</f>
        <v>0</v>
      </c>
      <c r="C14" s="50">
        <f t="shared" si="1"/>
        <v>0</v>
      </c>
    </row>
    <row r="15" spans="2:12" ht="12.75" x14ac:dyDescent="0.2">
      <c r="B15" s="50" t="b">
        <f>IF('2 Elektrický odpor'!B12="Železo",0.000000098)</f>
        <v>0</v>
      </c>
      <c r="C15" s="50">
        <f t="shared" si="1"/>
        <v>0</v>
      </c>
    </row>
    <row r="16" spans="2:12" ht="12.75" x14ac:dyDescent="0.2">
      <c r="B16" s="50" t="b">
        <f>IF('2 Elektrický odpor'!B12="Konštantán",0.0000005)</f>
        <v>0</v>
      </c>
      <c r="C16" s="50">
        <f t="shared" si="1"/>
        <v>0</v>
      </c>
    </row>
    <row r="17" spans="2:9" ht="12.75" x14ac:dyDescent="0.2">
      <c r="C17" s="54">
        <f>SUM(C11:C16)</f>
        <v>1.6000000000000001E-8</v>
      </c>
    </row>
    <row r="20" spans="2:9" ht="12.75" x14ac:dyDescent="0.2">
      <c r="B20" s="50" t="b">
        <f>IF('6 Hodnota R podľa farby'!B3="Čierny",0)</f>
        <v>0</v>
      </c>
      <c r="C20" s="50">
        <f>IF(B20=FALSE,0,B20)</f>
        <v>0</v>
      </c>
      <c r="D20" s="50" t="b">
        <f>IF('6 Hodnota R podľa farby'!D3="Čierny",0)</f>
        <v>0</v>
      </c>
      <c r="E20" s="50">
        <f>IF(D20=FALSE,0,D20)</f>
        <v>0</v>
      </c>
      <c r="F20" s="50" t="b">
        <f>IF('6 Hodnota R podľa farby'!F3="Strieborný",0.01)</f>
        <v>0</v>
      </c>
      <c r="G20" s="50">
        <f t="shared" ref="G20:G31" si="2">IF(F20=FALSE,0,F20)</f>
        <v>0</v>
      </c>
      <c r="H20" s="50">
        <f>IF('6 Hodnota R podľa farby'!H3="Strieborný",10)</f>
        <v>10</v>
      </c>
      <c r="I20" s="50">
        <f t="shared" ref="I20:I27" si="3">IF(H20=FALSE,0,H20)</f>
        <v>10</v>
      </c>
    </row>
    <row r="21" spans="2:9" ht="12.75" x14ac:dyDescent="0.2">
      <c r="B21" s="50" t="b">
        <f>IF('6 Hodnota R podľa farby'!B3="Hnedý",1)</f>
        <v>0</v>
      </c>
      <c r="C21" s="50">
        <f>IF(B21=FALSE,0,B21)</f>
        <v>0</v>
      </c>
      <c r="D21" s="50" t="b">
        <f>IF('6 Hodnota R podľa farby'!D3="Hnedý",1)</f>
        <v>0</v>
      </c>
      <c r="E21" s="50">
        <f>IF(D21=FALSE,0,D21)</f>
        <v>0</v>
      </c>
      <c r="F21" s="50" t="b">
        <f>IF('6 Hodnota R podľa farby'!F3="Zlatý",0.1)</f>
        <v>0</v>
      </c>
      <c r="G21" s="50">
        <f t="shared" si="2"/>
        <v>0</v>
      </c>
      <c r="H21" s="50" t="b">
        <f>IF('6 Hodnota R podľa farby'!H3="Zlatý",5)</f>
        <v>0</v>
      </c>
      <c r="I21" s="50">
        <f t="shared" si="3"/>
        <v>0</v>
      </c>
    </row>
    <row r="22" spans="2:9" ht="12.75" x14ac:dyDescent="0.2">
      <c r="B22" s="50" t="b">
        <f>IF('6 Hodnota R podľa farby'!B3="Červený",2)</f>
        <v>0</v>
      </c>
      <c r="C22" s="50">
        <f t="shared" ref="C22:C29" si="4">IF(B22=FALSE,0,B22)</f>
        <v>0</v>
      </c>
      <c r="D22" s="50">
        <f>IF('6 Hodnota R podľa farby'!D3="Červený",2)</f>
        <v>2</v>
      </c>
      <c r="E22" s="50">
        <f t="shared" ref="E22:E29" si="5">IF(D22=FALSE,0,D22)</f>
        <v>2</v>
      </c>
      <c r="F22" s="50" t="b">
        <f>IF('6 Hodnota R podľa farby'!F3="Čierny",1)</f>
        <v>0</v>
      </c>
      <c r="G22" s="50">
        <f t="shared" si="2"/>
        <v>0</v>
      </c>
      <c r="H22" s="50" t="b">
        <f>IF('6 Hodnota R podľa farby'!H3="Hnedý",1)</f>
        <v>0</v>
      </c>
      <c r="I22" s="50">
        <f t="shared" si="3"/>
        <v>0</v>
      </c>
    </row>
    <row r="23" spans="2:9" ht="12.75" x14ac:dyDescent="0.2">
      <c r="B23" s="50" t="b">
        <f>IF('6 Hodnota R podľa farby'!B3="Oranžový",3)</f>
        <v>0</v>
      </c>
      <c r="C23" s="50">
        <f t="shared" si="4"/>
        <v>0</v>
      </c>
      <c r="D23" s="50" t="b">
        <f>IF('6 Hodnota R podľa farby'!D3="Oranžový",3)</f>
        <v>0</v>
      </c>
      <c r="E23" s="50">
        <f t="shared" si="5"/>
        <v>0</v>
      </c>
      <c r="F23" s="50" t="b">
        <f>IF('6 Hodnota R podľa farby'!F3="Hnedý",10)</f>
        <v>0</v>
      </c>
      <c r="G23" s="50">
        <f t="shared" si="2"/>
        <v>0</v>
      </c>
      <c r="H23" s="50" t="b">
        <f>IF('6 Hodnota R podľa farby'!H3="Červený",2)</f>
        <v>0</v>
      </c>
      <c r="I23" s="50">
        <f t="shared" si="3"/>
        <v>0</v>
      </c>
    </row>
    <row r="24" spans="2:9" ht="12.75" x14ac:dyDescent="0.2">
      <c r="B24" s="50" t="b">
        <f>IF('6 Hodnota R podľa farby'!B3="Žltý",4)</f>
        <v>0</v>
      </c>
      <c r="C24" s="50">
        <f t="shared" si="4"/>
        <v>0</v>
      </c>
      <c r="D24" s="50" t="b">
        <f>IF('6 Hodnota R podľa farby'!D3="Žltý",4)</f>
        <v>0</v>
      </c>
      <c r="E24" s="50">
        <f t="shared" si="5"/>
        <v>0</v>
      </c>
      <c r="F24" s="50" t="b">
        <f>IF('6 Hodnota R podľa farby'!F3="Červený",100)</f>
        <v>0</v>
      </c>
      <c r="G24" s="50">
        <f t="shared" si="2"/>
        <v>0</v>
      </c>
      <c r="H24" s="50" t="b">
        <f>IF('6 Hodnota R podľa farby'!H3="Zelený",0.5)</f>
        <v>0</v>
      </c>
      <c r="I24" s="50">
        <f t="shared" si="3"/>
        <v>0</v>
      </c>
    </row>
    <row r="25" spans="2:9" ht="12.75" x14ac:dyDescent="0.2">
      <c r="B25" s="50">
        <f>IF('6 Hodnota R podľa farby'!B3="Zelený",5)</f>
        <v>5</v>
      </c>
      <c r="C25" s="50">
        <f t="shared" si="4"/>
        <v>5</v>
      </c>
      <c r="D25" s="50" t="b">
        <f>IF('6 Hodnota R podľa farby'!D3="Zelený",5)</f>
        <v>0</v>
      </c>
      <c r="E25" s="50">
        <f t="shared" si="5"/>
        <v>0</v>
      </c>
      <c r="F25" s="50" t="b">
        <f>IF('6 Hodnota R podľa farby'!F3="Oranžový",1000)</f>
        <v>0</v>
      </c>
      <c r="G25" s="50">
        <f t="shared" si="2"/>
        <v>0</v>
      </c>
      <c r="H25" s="50" t="b">
        <f>IF('6 Hodnota R podľa farby'!H3="Modrý",0.25)</f>
        <v>0</v>
      </c>
      <c r="I25" s="50">
        <f t="shared" si="3"/>
        <v>0</v>
      </c>
    </row>
    <row r="26" spans="2:9" ht="12.75" x14ac:dyDescent="0.2">
      <c r="B26" s="50" t="b">
        <f>IF('6 Hodnota R podľa farby'!B3="Modrý",6)</f>
        <v>0</v>
      </c>
      <c r="C26" s="50">
        <f t="shared" si="4"/>
        <v>0</v>
      </c>
      <c r="D26" s="50" t="b">
        <f>IF('6 Hodnota R podľa farby'!D3="Modrý",6)</f>
        <v>0</v>
      </c>
      <c r="E26" s="50">
        <f t="shared" si="5"/>
        <v>0</v>
      </c>
      <c r="F26" s="50" t="b">
        <f>IF('6 Hodnota R podľa farby'!F3="Žltý",10000)</f>
        <v>0</v>
      </c>
      <c r="G26" s="50">
        <f t="shared" si="2"/>
        <v>0</v>
      </c>
      <c r="H26" s="50" t="b">
        <f>IF('6 Hodnota R podľa farby'!H3="Fialový",0.1)</f>
        <v>0</v>
      </c>
      <c r="I26" s="50">
        <f t="shared" si="3"/>
        <v>0</v>
      </c>
    </row>
    <row r="27" spans="2:9" ht="12.75" x14ac:dyDescent="0.2">
      <c r="B27" s="50" t="b">
        <f>IF('6 Hodnota R podľa farby'!B3="Fialový",7)</f>
        <v>0</v>
      </c>
      <c r="C27" s="50">
        <f t="shared" si="4"/>
        <v>0</v>
      </c>
      <c r="D27" s="50" t="b">
        <f>IF('6 Hodnota R podľa farby'!D3="Fialový",7)</f>
        <v>0</v>
      </c>
      <c r="E27" s="50">
        <f t="shared" si="5"/>
        <v>0</v>
      </c>
      <c r="F27" s="50" t="b">
        <f>IF('6 Hodnota R podľa farby'!F3="Zelený",100000)</f>
        <v>0</v>
      </c>
      <c r="G27" s="50">
        <f t="shared" si="2"/>
        <v>0</v>
      </c>
      <c r="H27" s="50" t="b">
        <f>IF('6 Hodnota R podľa farby'!H3="Žiadny",20)</f>
        <v>0</v>
      </c>
      <c r="I27" s="50">
        <f t="shared" si="3"/>
        <v>0</v>
      </c>
    </row>
    <row r="28" spans="2:9" ht="12.75" x14ac:dyDescent="0.2">
      <c r="B28" s="50" t="b">
        <f>IF('6 Hodnota R podľa farby'!B3="Sivý",8)</f>
        <v>0</v>
      </c>
      <c r="C28" s="50">
        <f t="shared" si="4"/>
        <v>0</v>
      </c>
      <c r="D28" s="50" t="b">
        <f>IF('6 Hodnota R podľa farby'!D3="Sivý",8)</f>
        <v>0</v>
      </c>
      <c r="E28" s="50">
        <f t="shared" si="5"/>
        <v>0</v>
      </c>
      <c r="F28" s="50" t="b">
        <f>IF('6 Hodnota R podľa farby'!F3="Modrý",1000000)</f>
        <v>0</v>
      </c>
      <c r="G28" s="50">
        <f t="shared" si="2"/>
        <v>0</v>
      </c>
      <c r="I28" s="50">
        <f>SUM(I20:I27)</f>
        <v>10</v>
      </c>
    </row>
    <row r="29" spans="2:9" ht="12.75" x14ac:dyDescent="0.2">
      <c r="B29" s="50" t="b">
        <f>IF('6 Hodnota R podľa farby'!B3="Biely",9)</f>
        <v>0</v>
      </c>
      <c r="C29" s="50">
        <f t="shared" si="4"/>
        <v>0</v>
      </c>
      <c r="D29" s="50" t="b">
        <f>IF('6 Hodnota R podľa farby'!D3="Biely",9)</f>
        <v>0</v>
      </c>
      <c r="E29" s="50">
        <f t="shared" si="5"/>
        <v>0</v>
      </c>
      <c r="F29" s="50" t="b">
        <f>IF('6 Hodnota R podľa farby'!F3="Fialový",10000000)</f>
        <v>0</v>
      </c>
      <c r="G29" s="50">
        <f t="shared" si="2"/>
        <v>0</v>
      </c>
    </row>
    <row r="30" spans="2:9" ht="12.75" x14ac:dyDescent="0.2">
      <c r="C30" s="50">
        <f>SUM(C20:C29)</f>
        <v>5</v>
      </c>
      <c r="E30" s="50">
        <f>SUM(E20:E29)</f>
        <v>2</v>
      </c>
      <c r="F30" s="50" t="b">
        <f>IF('6 Hodnota R podľa farby'!F3="Sivý",100000000)</f>
        <v>0</v>
      </c>
      <c r="G30" s="50">
        <f t="shared" si="2"/>
        <v>0</v>
      </c>
    </row>
    <row r="31" spans="2:9" ht="12.75" x14ac:dyDescent="0.2">
      <c r="F31" s="58">
        <f>IF('6 Hodnota R podľa farby'!F3="Biely",1000000000)</f>
        <v>1000000000</v>
      </c>
      <c r="G31" s="58">
        <f t="shared" si="2"/>
        <v>1000000000</v>
      </c>
    </row>
    <row r="32" spans="2:9" ht="12.75" x14ac:dyDescent="0.2">
      <c r="G32" s="58">
        <f>SUM(G20:G31)</f>
        <v>1000000000</v>
      </c>
    </row>
    <row r="33" spans="2:7" ht="12.75" x14ac:dyDescent="0.2">
      <c r="B33" s="50" t="b">
        <f>AND('9 Logické obvody'!C3:C4,'9 Logické obvody'!C7:C8)</f>
        <v>1</v>
      </c>
      <c r="C33" s="50">
        <f>IF(B33=TRUE,1,0)</f>
        <v>1</v>
      </c>
    </row>
    <row r="34" spans="2:7" x14ac:dyDescent="0.25">
      <c r="B34" s="50" t="b">
        <f>AND('9 Logické obvody'!C13:C14,'9 Logické obvody'!C16:C17,'9 Logické obvody'!C19:C20)</f>
        <v>1</v>
      </c>
      <c r="C34" s="50">
        <f>IF(B34=TRUE,1,0)</f>
        <v>1</v>
      </c>
    </row>
    <row r="35" spans="2:7" x14ac:dyDescent="0.25">
      <c r="B35" s="50" t="b">
        <f>OR('9 Logické obvody'!C25:C26,'9 Logické obvody'!C28:C29,'9 Logické obvody'!C31:C32)</f>
        <v>1</v>
      </c>
      <c r="C35" s="50">
        <f>IF(B35=TRUE,1,0)</f>
        <v>1</v>
      </c>
    </row>
    <row r="36" spans="2:7" x14ac:dyDescent="0.25">
      <c r="B36" s="50">
        <f>'9 Logické obvody'!C39</f>
        <v>1</v>
      </c>
      <c r="C36" s="50" t="b">
        <f>IF(B36=1,TRUE,FALSE)</f>
        <v>1</v>
      </c>
      <c r="D36" s="50" t="b">
        <f>NOT(C36)</f>
        <v>0</v>
      </c>
      <c r="E36" s="50">
        <f>IF(D36=TRUE,1,0)</f>
        <v>0</v>
      </c>
    </row>
    <row r="38" spans="2:7" x14ac:dyDescent="0.25">
      <c r="B38" s="50" t="b">
        <f>OR('9 Logické obvody'!O25:O26,'9 Logické obvody'!O28:O29,'9 Logické obvody'!O31:O32,)</f>
        <v>1</v>
      </c>
      <c r="C38" s="50">
        <f>IF(B38=TRUE,1,0)</f>
        <v>1</v>
      </c>
    </row>
    <row r="40" spans="2:7" x14ac:dyDescent="0.25">
      <c r="B40" s="50">
        <f>'9 Logické obvody'!C49</f>
        <v>0</v>
      </c>
      <c r="C40" s="50" t="b">
        <f>IF(B40=1,TRUE,FALSE)</f>
        <v>0</v>
      </c>
      <c r="D40" s="50" t="b">
        <f>NOT(C40)</f>
        <v>1</v>
      </c>
      <c r="E40" s="50">
        <f>IF(D40=TRUE,1,0)</f>
        <v>1</v>
      </c>
      <c r="F40" s="50" t="b">
        <f>AND(D40,D42)</f>
        <v>1</v>
      </c>
      <c r="G40" s="50">
        <f>IF(F40=TRUE,1,0)</f>
        <v>1</v>
      </c>
    </row>
    <row r="41" spans="2:7" x14ac:dyDescent="0.25">
      <c r="B41" s="50">
        <f>'9 Logické obvody'!C55</f>
        <v>1</v>
      </c>
      <c r="C41" s="50" t="b">
        <f>IF(B41=1,TRUE,FALSE)</f>
        <v>1</v>
      </c>
    </row>
    <row r="42" spans="2:7" x14ac:dyDescent="0.25">
      <c r="B42" s="50">
        <f>'9 Logické obvody'!C59</f>
        <v>0</v>
      </c>
      <c r="C42" s="50" t="b">
        <f>IF(B42=1,TRUE,FALSE)</f>
        <v>0</v>
      </c>
      <c r="D42" s="50" t="b">
        <f>OR(C41,C42)</f>
        <v>1</v>
      </c>
      <c r="E42" s="50">
        <f>IF(D42=TRUE,1,0)</f>
        <v>1</v>
      </c>
    </row>
    <row r="44" spans="2:7" x14ac:dyDescent="0.25">
      <c r="B44" s="50">
        <f>'9 Logické obvody'!C66</f>
        <v>1</v>
      </c>
      <c r="C44" s="50" t="b">
        <f>IF(B44=1,TRUE,FALSE)</f>
        <v>1</v>
      </c>
      <c r="D44" s="50" t="b">
        <f>AND(C44,C45)</f>
        <v>1</v>
      </c>
      <c r="E44" s="50" t="b">
        <f>NOT(D44)</f>
        <v>0</v>
      </c>
      <c r="F44" s="50">
        <f>IF(E44=TRUE,1,0)</f>
        <v>0</v>
      </c>
    </row>
    <row r="45" spans="2:7" x14ac:dyDescent="0.25">
      <c r="B45" s="50">
        <f>'9 Logické obvody'!C70</f>
        <v>1</v>
      </c>
      <c r="C45" s="50" t="b">
        <f>IF(B45=1,TRUE,FALSE)</f>
        <v>1</v>
      </c>
    </row>
    <row r="47" spans="2:7" x14ac:dyDescent="0.25">
      <c r="B47" s="50">
        <f>'9 Logické obvody'!C76</f>
        <v>0</v>
      </c>
      <c r="C47" s="50" t="b">
        <f>IF(B47=1,TRUE,FALSE)</f>
        <v>0</v>
      </c>
      <c r="D47" s="50" t="b">
        <f>OR(C47,C48)</f>
        <v>0</v>
      </c>
      <c r="E47" s="50" t="b">
        <f>NOT(D47)</f>
        <v>1</v>
      </c>
      <c r="F47" s="50">
        <f>IF(E47=TRUE,1,0)</f>
        <v>1</v>
      </c>
    </row>
    <row r="48" spans="2:7" x14ac:dyDescent="0.25">
      <c r="B48" s="50">
        <f>'9 Logické obvody'!C80</f>
        <v>0</v>
      </c>
      <c r="C48" s="50" t="b">
        <f>IF(B48=1,TRUE,FALSE)</f>
        <v>0</v>
      </c>
    </row>
    <row r="50" spans="2:9" x14ac:dyDescent="0.25">
      <c r="B50" s="50">
        <f>'9 Logické obvody'!C86</f>
        <v>0</v>
      </c>
      <c r="C50" s="50">
        <f>IF(B50=B51,0,1)</f>
        <v>0</v>
      </c>
    </row>
    <row r="51" spans="2:9" x14ac:dyDescent="0.25">
      <c r="B51" s="50">
        <f>'9 Logické obvody'!C90</f>
        <v>0</v>
      </c>
    </row>
    <row r="53" spans="2:9" x14ac:dyDescent="0.25">
      <c r="B53" s="50">
        <f>'9 Logické obvody'!R102</f>
        <v>0</v>
      </c>
      <c r="C53" s="50" t="b">
        <f>IF(B53=1,TRUE,FALSE)</f>
        <v>0</v>
      </c>
      <c r="D53" s="50" t="b">
        <f>NOT(C53)</f>
        <v>1</v>
      </c>
      <c r="E53" s="50">
        <f>IF(D53=TRUE,1,0)</f>
        <v>1</v>
      </c>
    </row>
    <row r="55" spans="2:9" x14ac:dyDescent="0.25">
      <c r="B55" s="50">
        <f>'9 Logické obvody'!C97</f>
        <v>1</v>
      </c>
      <c r="C55" s="50" t="b">
        <f>IF(B55=1,TRUE,FALSE)</f>
        <v>1</v>
      </c>
      <c r="D55" s="50" t="b">
        <f>NOT(C55)</f>
        <v>0</v>
      </c>
      <c r="E55" s="50">
        <f>IF(D55=TRUE,1,0)</f>
        <v>0</v>
      </c>
    </row>
    <row r="56" spans="2:9" x14ac:dyDescent="0.25">
      <c r="B56" s="50">
        <f>'9 Logické obvody'!C103</f>
        <v>1</v>
      </c>
      <c r="C56" s="50" t="b">
        <f>IF(B56=1,TRUE,FALSE)</f>
        <v>1</v>
      </c>
      <c r="D56" s="50" t="b">
        <f>NOT(C56)</f>
        <v>0</v>
      </c>
      <c r="E56" s="50">
        <f>IF(D56=TRUE,1,0)</f>
        <v>0</v>
      </c>
    </row>
    <row r="58" spans="2:9" x14ac:dyDescent="0.25">
      <c r="B58" s="50">
        <f>'9 Logické obvody'!C111</f>
        <v>1</v>
      </c>
      <c r="C58" s="50" t="b">
        <f>IF(B58=1,TRUE,FALSE)</f>
        <v>1</v>
      </c>
      <c r="D58" s="50" t="b">
        <f>NOT(C58)</f>
        <v>0</v>
      </c>
      <c r="E58" s="50">
        <f>IF(D58=TRUE,1,0)</f>
        <v>0</v>
      </c>
      <c r="F58" s="50" t="b">
        <f>AND(D58,D59)</f>
        <v>0</v>
      </c>
      <c r="G58" s="50">
        <f>IF(F58=TRUE,1,0)</f>
        <v>0</v>
      </c>
      <c r="H58" s="50" t="b">
        <f>NOT(F58)</f>
        <v>1</v>
      </c>
      <c r="I58" s="50">
        <f>IF(H58=TRUE,1,0)</f>
        <v>1</v>
      </c>
    </row>
    <row r="59" spans="2:9" x14ac:dyDescent="0.25">
      <c r="B59" s="50">
        <f>'9 Logické obvody'!C117</f>
        <v>1</v>
      </c>
      <c r="C59" s="50" t="b">
        <f>IF(B59=1,TRUE,FALSE)</f>
        <v>1</v>
      </c>
      <c r="D59" s="50" t="b">
        <f>NOT(C59)</f>
        <v>0</v>
      </c>
      <c r="E59" s="50">
        <f>IF(D59=TRUE,1,0)</f>
        <v>0</v>
      </c>
    </row>
    <row r="62" spans="2:9" x14ac:dyDescent="0.25">
      <c r="B62" s="50">
        <f>'9 Logické obvody'!C272</f>
        <v>1</v>
      </c>
      <c r="C62" s="50" t="b">
        <f>IF(B62=1,TRUE,FALSE)</f>
        <v>1</v>
      </c>
      <c r="D62" s="50" t="b">
        <f>NOT(C62)</f>
        <v>0</v>
      </c>
      <c r="E62" s="50">
        <f>IF(D62=TRUE,1,0)</f>
        <v>0</v>
      </c>
    </row>
    <row r="64" spans="2:9" x14ac:dyDescent="0.25">
      <c r="B64" s="50">
        <f>'9 Logické obvody'!C282</f>
        <v>1</v>
      </c>
      <c r="C64" s="50" t="b">
        <f>IF(B64=1,TRUE,FALSE)</f>
        <v>1</v>
      </c>
      <c r="D64" s="50" t="b">
        <f>NOT(C64)</f>
        <v>0</v>
      </c>
      <c r="E64" s="50">
        <f>IF(D64=TRUE,1,0)</f>
        <v>0</v>
      </c>
    </row>
    <row r="65" spans="2:7" x14ac:dyDescent="0.25">
      <c r="B65" s="50">
        <f>'9 Logické obvody'!C292</f>
        <v>1</v>
      </c>
      <c r="C65" s="50" t="b">
        <f>IF(B65=1,TRUE,FALSE)</f>
        <v>1</v>
      </c>
      <c r="D65" s="50" t="b">
        <f>NOT(C65)</f>
        <v>0</v>
      </c>
      <c r="E65" s="50">
        <f>IF(D65=TRUE,1,0)</f>
        <v>0</v>
      </c>
    </row>
    <row r="67" spans="2:7" x14ac:dyDescent="0.25">
      <c r="B67" s="50">
        <f>'9 Logické obvody'!K282</f>
        <v>0</v>
      </c>
      <c r="C67" s="50">
        <f>'9 Logické obvody'!K292</f>
        <v>0</v>
      </c>
      <c r="D67" s="50">
        <f>B67*C67</f>
        <v>0</v>
      </c>
      <c r="E67" s="50" t="b">
        <f>IF(D67=1,TRUE,FALSE)</f>
        <v>0</v>
      </c>
      <c r="F67" s="50" t="b">
        <f>NOT(E67)</f>
        <v>1</v>
      </c>
      <c r="G67" s="50">
        <f>IF(F67=TRUE,1,0)</f>
        <v>1</v>
      </c>
    </row>
    <row r="69" spans="2:7" x14ac:dyDescent="0.25">
      <c r="B69" s="50">
        <f>'9 Logické obvody'!C300</f>
        <v>1</v>
      </c>
      <c r="D69" s="50">
        <f>D70</f>
        <v>0</v>
      </c>
    </row>
    <row r="70" spans="2:7" x14ac:dyDescent="0.25">
      <c r="B70" s="50">
        <f>'9 Logické obvody'!C304</f>
        <v>1</v>
      </c>
      <c r="C70" s="50" t="b">
        <f>NOT(B69*B70)</f>
        <v>0</v>
      </c>
      <c r="D70" s="50">
        <f>IF(C70=TRUE,1,0)</f>
        <v>0</v>
      </c>
      <c r="E70" s="50" t="b">
        <f>NOT(D69*D70)</f>
        <v>1</v>
      </c>
      <c r="F70" s="50">
        <f>IF(E70=TRUE,1,0)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53"/>
  <sheetViews>
    <sheetView workbookViewId="0"/>
  </sheetViews>
  <sheetFormatPr defaultColWidth="4" defaultRowHeight="15" x14ac:dyDescent="0.25"/>
  <cols>
    <col min="1" max="6" width="4" style="1"/>
    <col min="7" max="7" width="4.6640625" style="1" customWidth="1"/>
    <col min="8" max="9" width="4" style="1"/>
    <col min="10" max="10" width="4.5546875" style="1" customWidth="1"/>
    <col min="11" max="11" width="4" style="1"/>
    <col min="12" max="12" width="5" style="1" customWidth="1"/>
    <col min="13" max="14" width="4" style="1"/>
    <col min="15" max="15" width="4.5546875" style="1" customWidth="1"/>
    <col min="16" max="20" width="4" style="1"/>
    <col min="21" max="21" width="5" style="1" bestFit="1" customWidth="1"/>
    <col min="22" max="24" width="4" style="1"/>
    <col min="25" max="26" width="4" style="1" customWidth="1"/>
    <col min="27" max="35" width="4" style="1"/>
    <col min="36" max="36" width="4.5546875" style="1" bestFit="1" customWidth="1"/>
    <col min="37" max="16384" width="4" style="1"/>
  </cols>
  <sheetData>
    <row r="1" spans="2:36" ht="15.75" thickBot="1" x14ac:dyDescent="0.25"/>
    <row r="2" spans="2:36" x14ac:dyDescent="0.2"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20"/>
    </row>
    <row r="3" spans="2:36" x14ac:dyDescent="0.2">
      <c r="B3" s="21"/>
      <c r="C3" s="14"/>
      <c r="D3" s="14"/>
      <c r="E3" s="14"/>
      <c r="F3" s="14"/>
      <c r="G3" s="14"/>
      <c r="H3" s="14"/>
      <c r="I3" s="14"/>
      <c r="J3" s="14"/>
      <c r="K3" s="8"/>
      <c r="L3" s="9"/>
      <c r="M3" s="9"/>
      <c r="N3" s="9"/>
      <c r="O3" s="9"/>
      <c r="P3" s="9"/>
      <c r="Q3" s="9"/>
      <c r="R3" s="9"/>
      <c r="S3" s="10"/>
      <c r="T3" s="14"/>
      <c r="U3" s="14"/>
      <c r="V3" s="14"/>
      <c r="W3" s="14"/>
      <c r="X3" s="14"/>
      <c r="Y3" s="14"/>
      <c r="Z3" s="14"/>
      <c r="AA3" s="14"/>
      <c r="AB3" s="14"/>
      <c r="AC3" s="22"/>
    </row>
    <row r="4" spans="2:36" ht="15.6" x14ac:dyDescent="0.3">
      <c r="B4" s="21"/>
      <c r="C4" s="14"/>
      <c r="D4" s="14"/>
      <c r="E4" s="14"/>
      <c r="F4" s="11"/>
      <c r="G4" s="11"/>
      <c r="H4" s="11"/>
      <c r="I4" s="11"/>
      <c r="J4" s="12"/>
      <c r="K4" s="13"/>
      <c r="L4" s="14"/>
      <c r="M4" s="14"/>
      <c r="N4" s="238">
        <v>10</v>
      </c>
      <c r="O4" s="238"/>
      <c r="P4" s="15" t="s">
        <v>1</v>
      </c>
      <c r="Q4" s="14"/>
      <c r="R4" s="14"/>
      <c r="S4" s="16"/>
      <c r="T4" s="17"/>
      <c r="U4" s="11"/>
      <c r="V4" s="11"/>
      <c r="W4" s="11"/>
      <c r="X4" s="11"/>
      <c r="Y4" s="11"/>
      <c r="Z4" s="14"/>
      <c r="AA4" s="14"/>
      <c r="AB4" s="14"/>
      <c r="AC4" s="22"/>
    </row>
    <row r="5" spans="2:36" x14ac:dyDescent="0.2">
      <c r="B5" s="21"/>
      <c r="C5" s="14"/>
      <c r="D5" s="14"/>
      <c r="E5" s="14"/>
      <c r="F5" s="13"/>
      <c r="G5" s="14"/>
      <c r="H5" s="14"/>
      <c r="I5" s="14"/>
      <c r="J5" s="14"/>
      <c r="K5" s="13"/>
      <c r="L5" s="14"/>
      <c r="M5" s="14"/>
      <c r="N5" s="14"/>
      <c r="O5" s="14"/>
      <c r="P5" s="14"/>
      <c r="Q5" s="14"/>
      <c r="R5" s="14"/>
      <c r="S5" s="16"/>
      <c r="T5" s="14"/>
      <c r="U5" s="14"/>
      <c r="V5" s="14"/>
      <c r="W5" s="14"/>
      <c r="X5" s="14"/>
      <c r="Y5" s="14"/>
      <c r="Z5" s="13"/>
      <c r="AA5" s="14"/>
      <c r="AB5" s="14"/>
      <c r="AC5" s="22"/>
    </row>
    <row r="6" spans="2:36" x14ac:dyDescent="0.2">
      <c r="B6" s="21"/>
      <c r="C6" s="14"/>
      <c r="D6" s="14"/>
      <c r="E6" s="14"/>
      <c r="F6" s="13"/>
      <c r="G6" s="14"/>
      <c r="H6" s="14"/>
      <c r="I6" s="14"/>
      <c r="J6" s="14"/>
      <c r="K6" s="17"/>
      <c r="L6" s="11"/>
      <c r="M6" s="11"/>
      <c r="N6" s="11"/>
      <c r="O6" s="11"/>
      <c r="P6" s="11"/>
      <c r="Q6" s="11"/>
      <c r="R6" s="11"/>
      <c r="S6" s="12"/>
      <c r="T6" s="14"/>
      <c r="U6" s="14"/>
      <c r="V6" s="14"/>
      <c r="W6" s="14"/>
      <c r="X6" s="14"/>
      <c r="Y6" s="14"/>
      <c r="Z6" s="13"/>
      <c r="AA6" s="14"/>
      <c r="AB6" s="14"/>
      <c r="AC6" s="22"/>
    </row>
    <row r="7" spans="2:36" x14ac:dyDescent="0.2">
      <c r="B7" s="21"/>
      <c r="C7" s="14"/>
      <c r="D7" s="14"/>
      <c r="E7" s="14"/>
      <c r="F7" s="13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3"/>
      <c r="AA7" s="14"/>
      <c r="AB7" s="14"/>
      <c r="AC7" s="22"/>
    </row>
    <row r="8" spans="2:36" x14ac:dyDescent="0.2">
      <c r="B8" s="21"/>
      <c r="C8" s="14"/>
      <c r="D8" s="14"/>
      <c r="E8" s="14"/>
      <c r="F8" s="13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3"/>
      <c r="AA8" s="14"/>
      <c r="AB8" s="14"/>
      <c r="AC8" s="22"/>
    </row>
    <row r="9" spans="2:36" x14ac:dyDescent="0.2">
      <c r="B9" s="21"/>
      <c r="C9" s="14"/>
      <c r="D9" s="14"/>
      <c r="E9" s="14"/>
      <c r="F9" s="13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3"/>
      <c r="AA9" s="14"/>
      <c r="AB9" s="14"/>
      <c r="AC9" s="22"/>
      <c r="AJ9" s="28"/>
    </row>
    <row r="10" spans="2:36" x14ac:dyDescent="0.2">
      <c r="B10" s="21"/>
      <c r="C10" s="14"/>
      <c r="D10" s="14"/>
      <c r="E10" s="14"/>
      <c r="F10" s="13"/>
      <c r="G10" s="238">
        <v>6</v>
      </c>
      <c r="H10" s="238"/>
      <c r="I10" s="23" t="s">
        <v>0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3"/>
      <c r="AA10" s="14"/>
      <c r="AB10" s="14"/>
      <c r="AC10" s="22"/>
    </row>
    <row r="11" spans="2:36" x14ac:dyDescent="0.2">
      <c r="B11" s="21"/>
      <c r="C11" s="14"/>
      <c r="D11" s="14"/>
      <c r="E11" s="14"/>
      <c r="F11" s="13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3"/>
      <c r="AA11" s="14"/>
      <c r="AB11" s="14"/>
      <c r="AC11" s="22"/>
    </row>
    <row r="12" spans="2:36" x14ac:dyDescent="0.2">
      <c r="B12" s="21"/>
      <c r="C12" s="11"/>
      <c r="D12" s="11"/>
      <c r="E12" s="11"/>
      <c r="F12" s="17"/>
      <c r="G12" s="11"/>
      <c r="H12" s="11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3"/>
      <c r="AA12" s="14"/>
      <c r="AB12" s="14"/>
      <c r="AC12" s="22"/>
    </row>
    <row r="13" spans="2:36" x14ac:dyDescent="0.2">
      <c r="B13" s="21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3"/>
      <c r="AA13" s="14"/>
      <c r="AB13" s="14"/>
      <c r="AC13" s="22"/>
    </row>
    <row r="14" spans="2:36" x14ac:dyDescent="0.2">
      <c r="B14" s="21"/>
      <c r="C14" s="14"/>
      <c r="D14" s="3"/>
      <c r="E14" s="4"/>
      <c r="F14" s="4"/>
      <c r="G14" s="5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22"/>
    </row>
    <row r="15" spans="2:36" x14ac:dyDescent="0.2">
      <c r="B15" s="21"/>
      <c r="C15" s="11"/>
      <c r="D15" s="11"/>
      <c r="E15" s="11"/>
      <c r="F15" s="11"/>
      <c r="G15" s="11"/>
      <c r="H15" s="11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22"/>
    </row>
    <row r="16" spans="2:36" x14ac:dyDescent="0.2">
      <c r="B16" s="21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22"/>
    </row>
    <row r="17" spans="1:44" x14ac:dyDescent="0.2">
      <c r="B17" s="21"/>
      <c r="C17" s="14"/>
      <c r="D17" s="3"/>
      <c r="E17" s="4"/>
      <c r="F17" s="4"/>
      <c r="G17" s="5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22"/>
    </row>
    <row r="18" spans="1:44" x14ac:dyDescent="0.2">
      <c r="B18" s="21"/>
      <c r="C18" s="11"/>
      <c r="D18" s="11"/>
      <c r="E18" s="11"/>
      <c r="F18" s="11"/>
      <c r="G18" s="11"/>
      <c r="H18" s="11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239">
        <f>G10/N4</f>
        <v>0.6</v>
      </c>
      <c r="Z18" s="239"/>
      <c r="AA18" s="27" t="s">
        <v>2</v>
      </c>
      <c r="AB18" s="14"/>
      <c r="AC18" s="22"/>
    </row>
    <row r="19" spans="1:44" x14ac:dyDescent="0.2">
      <c r="B19" s="21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22"/>
    </row>
    <row r="20" spans="1:44" x14ac:dyDescent="0.2">
      <c r="B20" s="21"/>
      <c r="C20" s="14"/>
      <c r="D20" s="3"/>
      <c r="E20" s="4"/>
      <c r="F20" s="4"/>
      <c r="G20" s="5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22"/>
    </row>
    <row r="21" spans="1:44" x14ac:dyDescent="0.2">
      <c r="B21" s="21"/>
      <c r="C21" s="14"/>
      <c r="D21" s="14"/>
      <c r="E21" s="14"/>
      <c r="F21" s="8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22"/>
    </row>
    <row r="22" spans="1:44" x14ac:dyDescent="0.2">
      <c r="B22" s="21"/>
      <c r="C22" s="14"/>
      <c r="D22" s="14"/>
      <c r="E22" s="14"/>
      <c r="F22" s="13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22"/>
    </row>
    <row r="23" spans="1:44" x14ac:dyDescent="0.2">
      <c r="B23" s="21"/>
      <c r="C23" s="14"/>
      <c r="D23" s="14"/>
      <c r="E23" s="14"/>
      <c r="F23" s="13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3"/>
      <c r="AA23" s="14"/>
      <c r="AB23" s="14"/>
      <c r="AC23" s="22"/>
    </row>
    <row r="24" spans="1:44" x14ac:dyDescent="0.2">
      <c r="B24" s="21"/>
      <c r="C24" s="14"/>
      <c r="D24" s="14"/>
      <c r="E24" s="14"/>
      <c r="F24" s="13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3"/>
      <c r="AA24" s="14"/>
      <c r="AB24" s="14"/>
      <c r="AC24" s="22"/>
    </row>
    <row r="25" spans="1:44" x14ac:dyDescent="0.2">
      <c r="B25" s="21"/>
      <c r="C25" s="14"/>
      <c r="D25" s="14"/>
      <c r="E25" s="14"/>
      <c r="F25" s="13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3"/>
      <c r="AA25" s="14"/>
      <c r="AB25" s="14"/>
      <c r="AC25" s="22"/>
    </row>
    <row r="26" spans="1:44" x14ac:dyDescent="0.2">
      <c r="B26" s="21"/>
      <c r="C26" s="14"/>
      <c r="D26" s="14"/>
      <c r="E26" s="14"/>
      <c r="F26" s="13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3"/>
      <c r="AA26" s="14"/>
      <c r="AB26" s="14"/>
      <c r="AC26" s="22"/>
    </row>
    <row r="27" spans="1:44" x14ac:dyDescent="0.2">
      <c r="B27" s="21"/>
      <c r="C27" s="14"/>
      <c r="D27" s="14"/>
      <c r="E27" s="14"/>
      <c r="F27" s="13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3"/>
      <c r="AA27" s="14"/>
      <c r="AB27" s="14"/>
      <c r="AC27" s="22"/>
    </row>
    <row r="28" spans="1:44" x14ac:dyDescent="0.2">
      <c r="B28" s="21"/>
      <c r="C28" s="14"/>
      <c r="D28" s="14"/>
      <c r="E28" s="14"/>
      <c r="F28" s="13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3"/>
      <c r="AA28" s="14"/>
      <c r="AB28" s="14"/>
      <c r="AC28" s="22"/>
    </row>
    <row r="29" spans="1:44" x14ac:dyDescent="0.2">
      <c r="B29" s="21"/>
      <c r="C29" s="14"/>
      <c r="D29" s="14"/>
      <c r="E29" s="14"/>
      <c r="F29" s="17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3"/>
      <c r="AA29" s="14"/>
      <c r="AB29" s="14"/>
      <c r="AC29" s="22"/>
    </row>
    <row r="30" spans="1:44" ht="15.75" thickBot="1" x14ac:dyDescent="0.25">
      <c r="B30" s="24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6"/>
    </row>
    <row r="32" spans="1:44" ht="15.6" thickBo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P32" s="6"/>
      <c r="AQ32" s="6"/>
      <c r="AR32" s="6"/>
    </row>
    <row r="33" spans="1:44" x14ac:dyDescent="0.25">
      <c r="A33" s="2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20"/>
      <c r="AP33" s="6"/>
      <c r="AQ33" s="7"/>
      <c r="AR33" s="7"/>
    </row>
    <row r="34" spans="1:44" x14ac:dyDescent="0.25">
      <c r="A34" s="2"/>
      <c r="B34" s="21"/>
      <c r="C34" s="14"/>
      <c r="D34" s="14"/>
      <c r="E34" s="14"/>
      <c r="F34" s="14"/>
      <c r="G34" s="14"/>
      <c r="H34" s="14"/>
      <c r="I34" s="14"/>
      <c r="J34" s="14"/>
      <c r="K34" s="8"/>
      <c r="L34" s="9"/>
      <c r="M34" s="9"/>
      <c r="N34" s="9"/>
      <c r="O34" s="9"/>
      <c r="P34" s="9"/>
      <c r="Q34" s="9"/>
      <c r="R34" s="9"/>
      <c r="S34" s="10"/>
      <c r="T34" s="14"/>
      <c r="U34" s="14"/>
      <c r="V34" s="14"/>
      <c r="W34" s="8"/>
      <c r="X34" s="9"/>
      <c r="Y34" s="9"/>
      <c r="Z34" s="9"/>
      <c r="AA34" s="9"/>
      <c r="AB34" s="9"/>
      <c r="AC34" s="9"/>
      <c r="AD34" s="9"/>
      <c r="AE34" s="10"/>
      <c r="AF34" s="14"/>
      <c r="AG34" s="14"/>
      <c r="AH34" s="14"/>
      <c r="AI34" s="14"/>
      <c r="AJ34" s="14"/>
      <c r="AK34" s="14"/>
      <c r="AL34" s="14"/>
      <c r="AM34" s="14"/>
      <c r="AN34" s="14"/>
      <c r="AO34" s="22"/>
      <c r="AP34" s="6"/>
      <c r="AQ34" s="7"/>
      <c r="AR34" s="7"/>
    </row>
    <row r="35" spans="1:44" ht="15.6" x14ac:dyDescent="0.3">
      <c r="A35" s="2"/>
      <c r="B35" s="21"/>
      <c r="C35" s="14"/>
      <c r="D35" s="14"/>
      <c r="E35" s="14"/>
      <c r="F35" s="11"/>
      <c r="G35" s="11"/>
      <c r="H35" s="11"/>
      <c r="I35" s="11"/>
      <c r="J35" s="12"/>
      <c r="K35" s="13"/>
      <c r="L35" s="14"/>
      <c r="M35" s="14"/>
      <c r="N35" s="238">
        <v>10</v>
      </c>
      <c r="O35" s="238"/>
      <c r="P35" s="15" t="s">
        <v>1</v>
      </c>
      <c r="Q35" s="14"/>
      <c r="R35" s="14"/>
      <c r="S35" s="16"/>
      <c r="T35" s="17"/>
      <c r="U35" s="11"/>
      <c r="V35" s="12"/>
      <c r="W35" s="13"/>
      <c r="X35" s="14"/>
      <c r="Y35" s="14"/>
      <c r="Z35" s="238">
        <v>10</v>
      </c>
      <c r="AA35" s="238"/>
      <c r="AB35" s="15" t="s">
        <v>1</v>
      </c>
      <c r="AC35" s="14"/>
      <c r="AD35" s="14"/>
      <c r="AE35" s="16"/>
      <c r="AF35" s="17"/>
      <c r="AG35" s="11"/>
      <c r="AH35" s="11"/>
      <c r="AI35" s="11"/>
      <c r="AJ35" s="11"/>
      <c r="AK35" s="11"/>
      <c r="AL35" s="14"/>
      <c r="AM35" s="14"/>
      <c r="AN35" s="14"/>
      <c r="AO35" s="22"/>
      <c r="AP35" s="6"/>
      <c r="AQ35" s="7"/>
      <c r="AR35" s="7"/>
    </row>
    <row r="36" spans="1:44" x14ac:dyDescent="0.25">
      <c r="A36" s="2"/>
      <c r="B36" s="21"/>
      <c r="C36" s="14"/>
      <c r="D36" s="14"/>
      <c r="E36" s="14"/>
      <c r="F36" s="13"/>
      <c r="G36" s="14"/>
      <c r="H36" s="14"/>
      <c r="I36" s="14"/>
      <c r="J36" s="14"/>
      <c r="K36" s="13"/>
      <c r="L36" s="14"/>
      <c r="M36" s="14"/>
      <c r="N36" s="14"/>
      <c r="O36" s="14"/>
      <c r="P36" s="14"/>
      <c r="Q36" s="14"/>
      <c r="R36" s="14"/>
      <c r="S36" s="16"/>
      <c r="T36" s="14"/>
      <c r="U36" s="14"/>
      <c r="V36" s="14"/>
      <c r="W36" s="13"/>
      <c r="X36" s="14"/>
      <c r="Y36" s="14"/>
      <c r="Z36" s="14"/>
      <c r="AA36" s="14"/>
      <c r="AB36" s="14"/>
      <c r="AC36" s="14"/>
      <c r="AD36" s="14"/>
      <c r="AE36" s="16"/>
      <c r="AF36" s="14"/>
      <c r="AG36" s="14"/>
      <c r="AH36" s="14"/>
      <c r="AI36" s="14"/>
      <c r="AJ36" s="14"/>
      <c r="AK36" s="14"/>
      <c r="AL36" s="13"/>
      <c r="AM36" s="14"/>
      <c r="AN36" s="14"/>
      <c r="AO36" s="22"/>
      <c r="AP36" s="6"/>
      <c r="AQ36" s="7"/>
      <c r="AR36" s="7"/>
    </row>
    <row r="37" spans="1:44" x14ac:dyDescent="0.25">
      <c r="A37" s="2"/>
      <c r="B37" s="21"/>
      <c r="C37" s="14"/>
      <c r="D37" s="14"/>
      <c r="E37" s="14"/>
      <c r="F37" s="13"/>
      <c r="G37" s="14"/>
      <c r="H37" s="14"/>
      <c r="I37" s="14"/>
      <c r="J37" s="14"/>
      <c r="K37" s="17"/>
      <c r="L37" s="11"/>
      <c r="M37" s="11"/>
      <c r="N37" s="11"/>
      <c r="O37" s="11"/>
      <c r="P37" s="11"/>
      <c r="Q37" s="11"/>
      <c r="R37" s="11"/>
      <c r="S37" s="12"/>
      <c r="T37" s="14"/>
      <c r="U37" s="14"/>
      <c r="V37" s="14"/>
      <c r="W37" s="17"/>
      <c r="X37" s="11"/>
      <c r="Y37" s="11"/>
      <c r="Z37" s="11"/>
      <c r="AA37" s="11"/>
      <c r="AB37" s="11"/>
      <c r="AC37" s="11"/>
      <c r="AD37" s="11"/>
      <c r="AE37" s="12"/>
      <c r="AF37" s="14"/>
      <c r="AG37" s="14"/>
      <c r="AH37" s="14"/>
      <c r="AI37" s="14"/>
      <c r="AJ37" s="14"/>
      <c r="AK37" s="14"/>
      <c r="AL37" s="13"/>
      <c r="AM37" s="14"/>
      <c r="AN37" s="14"/>
      <c r="AO37" s="22"/>
      <c r="AP37" s="6"/>
      <c r="AQ37" s="7"/>
      <c r="AR37" s="7"/>
    </row>
    <row r="38" spans="1:44" x14ac:dyDescent="0.25">
      <c r="A38" s="2"/>
      <c r="B38" s="21"/>
      <c r="C38" s="14"/>
      <c r="D38" s="14"/>
      <c r="E38" s="14"/>
      <c r="F38" s="13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3"/>
      <c r="AM38" s="14"/>
      <c r="AN38" s="14"/>
      <c r="AO38" s="22"/>
      <c r="AP38" s="6"/>
      <c r="AQ38" s="7"/>
      <c r="AR38" s="7"/>
    </row>
    <row r="39" spans="1:44" x14ac:dyDescent="0.25">
      <c r="A39" s="2"/>
      <c r="B39" s="21"/>
      <c r="C39" s="14"/>
      <c r="D39" s="14"/>
      <c r="E39" s="14"/>
      <c r="F39" s="13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3"/>
      <c r="AM39" s="14"/>
      <c r="AN39" s="14"/>
      <c r="AO39" s="22"/>
      <c r="AP39" s="6"/>
      <c r="AQ39" s="7"/>
      <c r="AR39" s="7"/>
    </row>
    <row r="40" spans="1:44" x14ac:dyDescent="0.25">
      <c r="A40" s="2"/>
      <c r="B40" s="21"/>
      <c r="C40" s="14"/>
      <c r="D40" s="14"/>
      <c r="E40" s="14"/>
      <c r="F40" s="13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3"/>
      <c r="AM40" s="14"/>
      <c r="AN40" s="14"/>
      <c r="AO40" s="22"/>
      <c r="AP40" s="6"/>
      <c r="AQ40" s="7"/>
      <c r="AR40" s="7"/>
    </row>
    <row r="41" spans="1:44" x14ac:dyDescent="0.25">
      <c r="A41" s="2"/>
      <c r="B41" s="21"/>
      <c r="C41" s="14"/>
      <c r="D41" s="14"/>
      <c r="E41" s="14"/>
      <c r="F41" s="13"/>
      <c r="G41" s="238">
        <v>6</v>
      </c>
      <c r="H41" s="238"/>
      <c r="I41" s="23" t="s">
        <v>0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3"/>
      <c r="AM41" s="14"/>
      <c r="AN41" s="14"/>
      <c r="AO41" s="22"/>
      <c r="AP41" s="6"/>
      <c r="AQ41" s="7"/>
      <c r="AR41" s="7"/>
    </row>
    <row r="42" spans="1:44" x14ac:dyDescent="0.25">
      <c r="A42" s="2"/>
      <c r="B42" s="21"/>
      <c r="C42" s="14"/>
      <c r="D42" s="14"/>
      <c r="E42" s="14"/>
      <c r="F42" s="13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3"/>
      <c r="AM42" s="14"/>
      <c r="AN42" s="14"/>
      <c r="AO42" s="22"/>
      <c r="AP42" s="6"/>
      <c r="AQ42" s="7"/>
      <c r="AR42" s="7"/>
    </row>
    <row r="43" spans="1:44" x14ac:dyDescent="0.25">
      <c r="A43" s="2"/>
      <c r="B43" s="21"/>
      <c r="C43" s="11"/>
      <c r="D43" s="11"/>
      <c r="E43" s="11"/>
      <c r="F43" s="17"/>
      <c r="G43" s="11"/>
      <c r="H43" s="11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3"/>
      <c r="AM43" s="14"/>
      <c r="AN43" s="14"/>
      <c r="AO43" s="22"/>
      <c r="AP43" s="6"/>
      <c r="AQ43" s="7"/>
      <c r="AR43" s="7"/>
    </row>
    <row r="44" spans="1:44" x14ac:dyDescent="0.25">
      <c r="A44" s="2"/>
      <c r="B44" s="21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3"/>
      <c r="AM44" s="14"/>
      <c r="AN44" s="14"/>
      <c r="AO44" s="22"/>
      <c r="AP44" s="6"/>
      <c r="AQ44" s="7"/>
      <c r="AR44" s="7"/>
    </row>
    <row r="45" spans="1:44" x14ac:dyDescent="0.25">
      <c r="A45" s="2"/>
      <c r="B45" s="21"/>
      <c r="C45" s="14"/>
      <c r="D45" s="3"/>
      <c r="E45" s="4"/>
      <c r="F45" s="4"/>
      <c r="G45" s="5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22"/>
      <c r="AP45" s="6"/>
      <c r="AQ45" s="7"/>
      <c r="AR45" s="7"/>
    </row>
    <row r="46" spans="1:44" x14ac:dyDescent="0.25">
      <c r="A46" s="2"/>
      <c r="B46" s="21"/>
      <c r="C46" s="11"/>
      <c r="D46" s="11"/>
      <c r="E46" s="11"/>
      <c r="F46" s="11"/>
      <c r="G46" s="11"/>
      <c r="H46" s="11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22"/>
      <c r="AP46" s="6"/>
      <c r="AQ46" s="7"/>
      <c r="AR46" s="7"/>
    </row>
    <row r="47" spans="1:44" x14ac:dyDescent="0.25">
      <c r="A47" s="2"/>
      <c r="B47" s="21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22"/>
      <c r="AP47" s="6"/>
      <c r="AQ47" s="7"/>
      <c r="AR47" s="7"/>
    </row>
    <row r="48" spans="1:44" x14ac:dyDescent="0.25">
      <c r="A48" s="2"/>
      <c r="B48" s="21"/>
      <c r="C48" s="14"/>
      <c r="D48" s="3"/>
      <c r="E48" s="4"/>
      <c r="F48" s="4"/>
      <c r="G48" s="5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22"/>
      <c r="AP48" s="6"/>
      <c r="AQ48" s="7"/>
      <c r="AR48" s="7"/>
    </row>
    <row r="49" spans="1:44" x14ac:dyDescent="0.25">
      <c r="A49" s="2"/>
      <c r="B49" s="21"/>
      <c r="C49" s="11"/>
      <c r="D49" s="11"/>
      <c r="E49" s="11"/>
      <c r="F49" s="11"/>
      <c r="G49" s="11"/>
      <c r="H49" s="11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239">
        <f>G41/(N35+Z35)</f>
        <v>0.3</v>
      </c>
      <c r="AL49" s="239"/>
      <c r="AM49" s="27" t="s">
        <v>2</v>
      </c>
      <c r="AN49" s="14"/>
      <c r="AO49" s="22"/>
      <c r="AP49" s="6"/>
      <c r="AQ49" s="7"/>
      <c r="AR49" s="7"/>
    </row>
    <row r="50" spans="1:44" x14ac:dyDescent="0.25">
      <c r="A50" s="2"/>
      <c r="B50" s="21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22"/>
      <c r="AP50" s="6"/>
      <c r="AQ50" s="7"/>
      <c r="AR50" s="7"/>
    </row>
    <row r="51" spans="1:44" x14ac:dyDescent="0.25">
      <c r="A51" s="2"/>
      <c r="B51" s="21"/>
      <c r="C51" s="14"/>
      <c r="D51" s="3"/>
      <c r="E51" s="4"/>
      <c r="F51" s="4"/>
      <c r="G51" s="5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22"/>
      <c r="AP51" s="6"/>
      <c r="AQ51" s="7"/>
      <c r="AR51" s="7"/>
    </row>
    <row r="52" spans="1:44" x14ac:dyDescent="0.25">
      <c r="A52" s="2"/>
      <c r="B52" s="21"/>
      <c r="C52" s="14"/>
      <c r="D52" s="14"/>
      <c r="E52" s="14"/>
      <c r="F52" s="8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22"/>
      <c r="AP52" s="6"/>
      <c r="AQ52" s="7"/>
      <c r="AR52" s="7"/>
    </row>
    <row r="53" spans="1:44" x14ac:dyDescent="0.25">
      <c r="A53" s="2"/>
      <c r="B53" s="21"/>
      <c r="C53" s="14"/>
      <c r="D53" s="14"/>
      <c r="E53" s="14"/>
      <c r="F53" s="13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22"/>
      <c r="AP53" s="6"/>
      <c r="AQ53" s="7"/>
      <c r="AR53" s="7"/>
    </row>
    <row r="54" spans="1:44" x14ac:dyDescent="0.25">
      <c r="A54" s="2"/>
      <c r="B54" s="21"/>
      <c r="C54" s="14"/>
      <c r="D54" s="14"/>
      <c r="E54" s="14"/>
      <c r="F54" s="13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3"/>
      <c r="AM54" s="14"/>
      <c r="AN54" s="14"/>
      <c r="AO54" s="22"/>
      <c r="AP54" s="6"/>
      <c r="AQ54" s="7"/>
      <c r="AR54" s="7"/>
    </row>
    <row r="55" spans="1:44" x14ac:dyDescent="0.25">
      <c r="A55" s="2"/>
      <c r="B55" s="21"/>
      <c r="C55" s="14"/>
      <c r="D55" s="14"/>
      <c r="E55" s="14"/>
      <c r="F55" s="13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3"/>
      <c r="AM55" s="14"/>
      <c r="AN55" s="14"/>
      <c r="AO55" s="22"/>
      <c r="AP55" s="6"/>
      <c r="AQ55" s="7"/>
      <c r="AR55" s="7"/>
    </row>
    <row r="56" spans="1:44" x14ac:dyDescent="0.25">
      <c r="A56" s="2"/>
      <c r="B56" s="21"/>
      <c r="C56" s="14"/>
      <c r="D56" s="14"/>
      <c r="E56" s="14"/>
      <c r="F56" s="13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3"/>
      <c r="AM56" s="14"/>
      <c r="AN56" s="14"/>
      <c r="AO56" s="22"/>
      <c r="AP56" s="6"/>
      <c r="AQ56" s="7"/>
      <c r="AR56" s="7"/>
    </row>
    <row r="57" spans="1:44" x14ac:dyDescent="0.25">
      <c r="A57" s="2"/>
      <c r="B57" s="21"/>
      <c r="C57" s="14"/>
      <c r="D57" s="14"/>
      <c r="E57" s="14"/>
      <c r="F57" s="13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3"/>
      <c r="AM57" s="14"/>
      <c r="AN57" s="14"/>
      <c r="AO57" s="22"/>
      <c r="AP57" s="6"/>
      <c r="AQ57" s="7"/>
      <c r="AR57" s="7"/>
    </row>
    <row r="58" spans="1:44" x14ac:dyDescent="0.25">
      <c r="A58" s="2"/>
      <c r="B58" s="21"/>
      <c r="C58" s="14"/>
      <c r="D58" s="14"/>
      <c r="E58" s="14"/>
      <c r="F58" s="13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3"/>
      <c r="AM58" s="14"/>
      <c r="AN58" s="14"/>
      <c r="AO58" s="22"/>
      <c r="AP58" s="6"/>
      <c r="AQ58" s="7"/>
      <c r="AR58" s="7"/>
    </row>
    <row r="59" spans="1:44" x14ac:dyDescent="0.25">
      <c r="A59" s="2"/>
      <c r="B59" s="21"/>
      <c r="C59" s="14"/>
      <c r="D59" s="14"/>
      <c r="E59" s="14"/>
      <c r="F59" s="13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3"/>
      <c r="AM59" s="14"/>
      <c r="AN59" s="14"/>
      <c r="AO59" s="22"/>
      <c r="AP59" s="6"/>
      <c r="AQ59" s="7"/>
      <c r="AR59" s="7"/>
    </row>
    <row r="60" spans="1:44" x14ac:dyDescent="0.25">
      <c r="A60" s="2"/>
      <c r="B60" s="21"/>
      <c r="C60" s="14"/>
      <c r="D60" s="14"/>
      <c r="E60" s="14"/>
      <c r="F60" s="17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3"/>
      <c r="AM60" s="14"/>
      <c r="AN60" s="14"/>
      <c r="AO60" s="22"/>
      <c r="AP60" s="6"/>
      <c r="AQ60" s="7"/>
      <c r="AR60" s="7"/>
    </row>
    <row r="61" spans="1:44" ht="15.6" thickBot="1" x14ac:dyDescent="0.3">
      <c r="A61" s="2"/>
      <c r="B61" s="24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6"/>
      <c r="AP61" s="6"/>
      <c r="AQ61" s="7"/>
      <c r="AR61" s="7"/>
    </row>
    <row r="62" spans="1:44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44" ht="15.6" thickBo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44" x14ac:dyDescent="0.25">
      <c r="A64" s="2"/>
      <c r="B64" s="18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20"/>
      <c r="AD64" s="2"/>
    </row>
    <row r="65" spans="1:30" x14ac:dyDescent="0.25">
      <c r="A65" s="2"/>
      <c r="B65" s="21"/>
      <c r="C65" s="14"/>
      <c r="D65" s="14"/>
      <c r="E65" s="14"/>
      <c r="F65" s="14"/>
      <c r="G65" s="14"/>
      <c r="H65" s="14"/>
      <c r="I65" s="14"/>
      <c r="J65" s="14"/>
      <c r="K65" s="8"/>
      <c r="L65" s="9"/>
      <c r="M65" s="9"/>
      <c r="N65" s="9"/>
      <c r="O65" s="9"/>
      <c r="P65" s="9"/>
      <c r="Q65" s="9"/>
      <c r="R65" s="9"/>
      <c r="S65" s="10"/>
      <c r="T65" s="14"/>
      <c r="U65" s="14"/>
      <c r="V65" s="14"/>
      <c r="W65" s="14"/>
      <c r="X65" s="14"/>
      <c r="Y65" s="14"/>
      <c r="Z65" s="14"/>
      <c r="AA65" s="14"/>
      <c r="AB65" s="14"/>
      <c r="AC65" s="22"/>
      <c r="AD65" s="2"/>
    </row>
    <row r="66" spans="1:30" ht="15.6" x14ac:dyDescent="0.3">
      <c r="A66" s="2"/>
      <c r="B66" s="21"/>
      <c r="C66" s="14"/>
      <c r="D66" s="14"/>
      <c r="E66" s="14"/>
      <c r="F66" s="11"/>
      <c r="G66" s="11"/>
      <c r="H66" s="11"/>
      <c r="I66" s="11"/>
      <c r="J66" s="12"/>
      <c r="K66" s="13"/>
      <c r="L66" s="14"/>
      <c r="M66" s="14"/>
      <c r="N66" s="238">
        <v>10</v>
      </c>
      <c r="O66" s="238"/>
      <c r="P66" s="15" t="s">
        <v>1</v>
      </c>
      <c r="Q66" s="14"/>
      <c r="R66" s="14"/>
      <c r="S66" s="16"/>
      <c r="T66" s="17"/>
      <c r="U66" s="11"/>
      <c r="V66" s="11"/>
      <c r="W66" s="11"/>
      <c r="X66" s="11"/>
      <c r="Y66" s="11"/>
      <c r="Z66" s="14"/>
      <c r="AA66" s="14"/>
      <c r="AB66" s="14"/>
      <c r="AC66" s="22"/>
      <c r="AD66" s="2"/>
    </row>
    <row r="67" spans="1:30" x14ac:dyDescent="0.25">
      <c r="A67" s="2"/>
      <c r="B67" s="21"/>
      <c r="C67" s="14"/>
      <c r="D67" s="14"/>
      <c r="E67" s="14"/>
      <c r="F67" s="13"/>
      <c r="G67" s="14"/>
      <c r="H67" s="14"/>
      <c r="I67" s="10"/>
      <c r="J67" s="14"/>
      <c r="K67" s="13"/>
      <c r="L67" s="14"/>
      <c r="M67" s="14"/>
      <c r="N67" s="14"/>
      <c r="O67" s="14"/>
      <c r="P67" s="14"/>
      <c r="Q67" s="14"/>
      <c r="R67" s="14"/>
      <c r="S67" s="16"/>
      <c r="T67" s="14"/>
      <c r="U67" s="8"/>
      <c r="V67" s="14"/>
      <c r="W67" s="14"/>
      <c r="X67" s="14"/>
      <c r="Y67" s="14"/>
      <c r="Z67" s="13"/>
      <c r="AA67" s="14"/>
      <c r="AB67" s="14"/>
      <c r="AC67" s="22"/>
      <c r="AD67" s="2"/>
    </row>
    <row r="68" spans="1:30" x14ac:dyDescent="0.25">
      <c r="A68" s="2"/>
      <c r="B68" s="21"/>
      <c r="C68" s="14"/>
      <c r="D68" s="14"/>
      <c r="E68" s="14"/>
      <c r="F68" s="13"/>
      <c r="G68" s="14"/>
      <c r="H68" s="14"/>
      <c r="I68" s="16"/>
      <c r="J68" s="14"/>
      <c r="K68" s="17"/>
      <c r="L68" s="11"/>
      <c r="M68" s="11"/>
      <c r="N68" s="11"/>
      <c r="O68" s="11"/>
      <c r="P68" s="11"/>
      <c r="Q68" s="11"/>
      <c r="R68" s="11"/>
      <c r="S68" s="12"/>
      <c r="T68" s="14"/>
      <c r="U68" s="13"/>
      <c r="V68" s="14"/>
      <c r="W68" s="14"/>
      <c r="X68" s="14"/>
      <c r="Y68" s="14"/>
      <c r="Z68" s="13"/>
      <c r="AA68" s="14"/>
      <c r="AB68" s="14"/>
      <c r="AC68" s="22"/>
      <c r="AD68" s="2"/>
    </row>
    <row r="69" spans="1:30" x14ac:dyDescent="0.25">
      <c r="A69" s="2"/>
      <c r="B69" s="21"/>
      <c r="C69" s="14"/>
      <c r="D69" s="14"/>
      <c r="E69" s="14"/>
      <c r="F69" s="13"/>
      <c r="G69" s="14"/>
      <c r="H69" s="14"/>
      <c r="I69" s="16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3"/>
      <c r="V69" s="14"/>
      <c r="W69" s="14"/>
      <c r="X69" s="14"/>
      <c r="Y69" s="14"/>
      <c r="Z69" s="13"/>
      <c r="AA69" s="14"/>
      <c r="AB69" s="14"/>
      <c r="AC69" s="22"/>
      <c r="AD69" s="2"/>
    </row>
    <row r="70" spans="1:30" x14ac:dyDescent="0.25">
      <c r="A70" s="2"/>
      <c r="B70" s="21"/>
      <c r="C70" s="14"/>
      <c r="D70" s="14"/>
      <c r="E70" s="14"/>
      <c r="F70" s="13"/>
      <c r="G70" s="14"/>
      <c r="H70" s="14"/>
      <c r="I70" s="16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3"/>
      <c r="V70" s="14"/>
      <c r="W70" s="14"/>
      <c r="X70" s="14"/>
      <c r="Y70" s="14"/>
      <c r="Z70" s="13"/>
      <c r="AA70" s="14"/>
      <c r="AB70" s="14"/>
      <c r="AC70" s="22"/>
      <c r="AD70" s="2"/>
    </row>
    <row r="71" spans="1:30" x14ac:dyDescent="0.25">
      <c r="A71" s="2"/>
      <c r="B71" s="21"/>
      <c r="C71" s="14"/>
      <c r="D71" s="14"/>
      <c r="E71" s="14"/>
      <c r="F71" s="13"/>
      <c r="G71" s="14"/>
      <c r="H71" s="14"/>
      <c r="I71" s="16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3"/>
      <c r="V71" s="14"/>
      <c r="W71" s="14"/>
      <c r="X71" s="14"/>
      <c r="Y71" s="14"/>
      <c r="Z71" s="13"/>
      <c r="AA71" s="14"/>
      <c r="AB71" s="14"/>
      <c r="AC71" s="22"/>
      <c r="AD71" s="2"/>
    </row>
    <row r="72" spans="1:30" x14ac:dyDescent="0.25">
      <c r="A72" s="2"/>
      <c r="B72" s="21"/>
      <c r="C72" s="14"/>
      <c r="D72" s="14"/>
      <c r="E72" s="14"/>
      <c r="F72" s="13"/>
      <c r="G72" s="14"/>
      <c r="H72" s="14"/>
      <c r="I72" s="16"/>
      <c r="J72" s="14"/>
      <c r="K72" s="8"/>
      <c r="L72" s="9"/>
      <c r="M72" s="9"/>
      <c r="N72" s="9"/>
      <c r="O72" s="9"/>
      <c r="P72" s="9"/>
      <c r="Q72" s="9"/>
      <c r="R72" s="9"/>
      <c r="S72" s="10"/>
      <c r="T72" s="14"/>
      <c r="U72" s="13"/>
      <c r="V72" s="14"/>
      <c r="W72" s="14"/>
      <c r="X72" s="14"/>
      <c r="Y72" s="14"/>
      <c r="Z72" s="13"/>
      <c r="AA72" s="14"/>
      <c r="AB72" s="14"/>
      <c r="AC72" s="22"/>
      <c r="AD72" s="2"/>
    </row>
    <row r="73" spans="1:30" ht="15.6" x14ac:dyDescent="0.3">
      <c r="A73" s="2"/>
      <c r="B73" s="21"/>
      <c r="C73" s="14"/>
      <c r="D73" s="14"/>
      <c r="E73" s="14"/>
      <c r="F73" s="13"/>
      <c r="G73" s="14"/>
      <c r="H73" s="14"/>
      <c r="I73" s="16"/>
      <c r="J73" s="12"/>
      <c r="K73" s="13"/>
      <c r="L73" s="14"/>
      <c r="M73" s="14"/>
      <c r="N73" s="238">
        <v>10</v>
      </c>
      <c r="O73" s="238"/>
      <c r="P73" s="15" t="s">
        <v>1</v>
      </c>
      <c r="Q73" s="14"/>
      <c r="R73" s="14"/>
      <c r="S73" s="16"/>
      <c r="T73" s="17"/>
      <c r="U73" s="13"/>
      <c r="V73" s="14"/>
      <c r="W73" s="14"/>
      <c r="X73" s="14"/>
      <c r="Y73" s="14"/>
      <c r="Z73" s="13"/>
      <c r="AA73" s="14"/>
      <c r="AB73" s="14"/>
      <c r="AC73" s="22"/>
      <c r="AD73" s="2"/>
    </row>
    <row r="74" spans="1:30" x14ac:dyDescent="0.25">
      <c r="A74" s="2"/>
      <c r="B74" s="21"/>
      <c r="C74" s="14"/>
      <c r="D74" s="14"/>
      <c r="E74" s="14"/>
      <c r="F74" s="13"/>
      <c r="G74" s="14"/>
      <c r="H74" s="14"/>
      <c r="I74" s="14"/>
      <c r="J74" s="14"/>
      <c r="K74" s="13"/>
      <c r="L74" s="14"/>
      <c r="M74" s="14"/>
      <c r="N74" s="14"/>
      <c r="O74" s="14"/>
      <c r="P74" s="14"/>
      <c r="Q74" s="14"/>
      <c r="R74" s="14"/>
      <c r="S74" s="16"/>
      <c r="T74" s="14"/>
      <c r="U74" s="14"/>
      <c r="V74" s="14"/>
      <c r="W74" s="14"/>
      <c r="X74" s="14"/>
      <c r="Y74" s="14"/>
      <c r="Z74" s="13"/>
      <c r="AA74" s="14"/>
      <c r="AB74" s="14"/>
      <c r="AC74" s="22"/>
      <c r="AD74" s="2"/>
    </row>
    <row r="75" spans="1:30" x14ac:dyDescent="0.25">
      <c r="A75" s="2"/>
      <c r="B75" s="21"/>
      <c r="C75" s="14"/>
      <c r="D75" s="14"/>
      <c r="E75" s="14"/>
      <c r="F75" s="13"/>
      <c r="G75" s="14"/>
      <c r="H75" s="14"/>
      <c r="I75" s="14"/>
      <c r="J75" s="14"/>
      <c r="K75" s="17"/>
      <c r="L75" s="11"/>
      <c r="M75" s="11"/>
      <c r="N75" s="11"/>
      <c r="O75" s="11"/>
      <c r="P75" s="11"/>
      <c r="Q75" s="11"/>
      <c r="R75" s="11"/>
      <c r="S75" s="12"/>
      <c r="T75" s="14"/>
      <c r="U75" s="14"/>
      <c r="V75" s="14"/>
      <c r="W75" s="14"/>
      <c r="X75" s="14"/>
      <c r="Y75" s="14"/>
      <c r="Z75" s="13"/>
      <c r="AA75" s="14"/>
      <c r="AB75" s="14"/>
      <c r="AC75" s="22"/>
      <c r="AD75" s="2"/>
    </row>
    <row r="76" spans="1:30" x14ac:dyDescent="0.25">
      <c r="A76" s="2"/>
      <c r="B76" s="21"/>
      <c r="C76" s="14"/>
      <c r="D76" s="14"/>
      <c r="E76" s="14"/>
      <c r="F76" s="13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3"/>
      <c r="AA76" s="14"/>
      <c r="AB76" s="14"/>
      <c r="AC76" s="22"/>
      <c r="AD76" s="2"/>
    </row>
    <row r="77" spans="1:30" x14ac:dyDescent="0.25">
      <c r="A77" s="2"/>
      <c r="B77" s="21"/>
      <c r="C77" s="14"/>
      <c r="D77" s="14"/>
      <c r="E77" s="14"/>
      <c r="F77" s="13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3"/>
      <c r="AA77" s="14"/>
      <c r="AB77" s="14"/>
      <c r="AC77" s="22"/>
      <c r="AD77" s="2"/>
    </row>
    <row r="78" spans="1:30" x14ac:dyDescent="0.25">
      <c r="A78" s="2"/>
      <c r="B78" s="21"/>
      <c r="C78" s="14"/>
      <c r="D78" s="14"/>
      <c r="E78" s="14"/>
      <c r="F78" s="13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3"/>
      <c r="AA78" s="14"/>
      <c r="AB78" s="14"/>
      <c r="AC78" s="22"/>
      <c r="AD78" s="2"/>
    </row>
    <row r="79" spans="1:30" x14ac:dyDescent="0.25">
      <c r="A79" s="2"/>
      <c r="B79" s="21"/>
      <c r="C79" s="14"/>
      <c r="D79" s="14"/>
      <c r="E79" s="14"/>
      <c r="F79" s="13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3"/>
      <c r="AA79" s="14"/>
      <c r="AB79" s="14"/>
      <c r="AC79" s="22"/>
      <c r="AD79" s="2"/>
    </row>
    <row r="80" spans="1:30" x14ac:dyDescent="0.25">
      <c r="A80" s="2"/>
      <c r="B80" s="21"/>
      <c r="C80" s="14"/>
      <c r="D80" s="14"/>
      <c r="E80" s="14"/>
      <c r="F80" s="13"/>
      <c r="G80" s="238">
        <v>10</v>
      </c>
      <c r="H80" s="238"/>
      <c r="I80" s="23" t="s">
        <v>0</v>
      </c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3"/>
      <c r="AA80" s="14"/>
      <c r="AB80" s="14"/>
      <c r="AC80" s="22"/>
      <c r="AD80" s="2"/>
    </row>
    <row r="81" spans="1:30" x14ac:dyDescent="0.25">
      <c r="A81" s="2"/>
      <c r="B81" s="21"/>
      <c r="C81" s="14"/>
      <c r="D81" s="14"/>
      <c r="E81" s="14"/>
      <c r="F81" s="13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3"/>
      <c r="AA81" s="14"/>
      <c r="AB81" s="14"/>
      <c r="AC81" s="22"/>
      <c r="AD81" s="2"/>
    </row>
    <row r="82" spans="1:30" x14ac:dyDescent="0.25">
      <c r="A82" s="2"/>
      <c r="B82" s="21"/>
      <c r="C82" s="11"/>
      <c r="D82" s="11"/>
      <c r="E82" s="11"/>
      <c r="F82" s="17"/>
      <c r="G82" s="11"/>
      <c r="H82" s="11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3"/>
      <c r="AA82" s="14"/>
      <c r="AB82" s="14"/>
      <c r="AC82" s="22"/>
      <c r="AD82" s="2"/>
    </row>
    <row r="83" spans="1:30" x14ac:dyDescent="0.25">
      <c r="A83" s="2"/>
      <c r="B83" s="21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3"/>
      <c r="AA83" s="14"/>
      <c r="AB83" s="14"/>
      <c r="AC83" s="22"/>
      <c r="AD83" s="2"/>
    </row>
    <row r="84" spans="1:30" x14ac:dyDescent="0.25">
      <c r="A84" s="2"/>
      <c r="B84" s="21"/>
      <c r="C84" s="14"/>
      <c r="D84" s="3"/>
      <c r="E84" s="4"/>
      <c r="F84" s="4"/>
      <c r="G84" s="5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22"/>
      <c r="AD84" s="2"/>
    </row>
    <row r="85" spans="1:30" x14ac:dyDescent="0.25">
      <c r="A85" s="2"/>
      <c r="B85" s="21"/>
      <c r="C85" s="11"/>
      <c r="D85" s="11"/>
      <c r="E85" s="11"/>
      <c r="F85" s="11"/>
      <c r="G85" s="11"/>
      <c r="H85" s="11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22"/>
      <c r="AD85" s="2"/>
    </row>
    <row r="86" spans="1:30" x14ac:dyDescent="0.25">
      <c r="A86" s="2"/>
      <c r="B86" s="21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22"/>
      <c r="AD86" s="2"/>
    </row>
    <row r="87" spans="1:30" x14ac:dyDescent="0.25">
      <c r="A87" s="2"/>
      <c r="B87" s="21"/>
      <c r="C87" s="14"/>
      <c r="D87" s="3"/>
      <c r="E87" s="4"/>
      <c r="F87" s="4"/>
      <c r="G87" s="5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22"/>
      <c r="AD87" s="2"/>
    </row>
    <row r="88" spans="1:30" x14ac:dyDescent="0.25">
      <c r="A88" s="2"/>
      <c r="B88" s="21"/>
      <c r="C88" s="11"/>
      <c r="D88" s="11"/>
      <c r="E88" s="11"/>
      <c r="F88" s="11"/>
      <c r="G88" s="11"/>
      <c r="H88" s="11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239">
        <f>G80/((N66*N73)/(N66+N73))</f>
        <v>2</v>
      </c>
      <c r="Z88" s="239"/>
      <c r="AA88" s="27" t="s">
        <v>2</v>
      </c>
      <c r="AB88" s="14"/>
      <c r="AC88" s="22"/>
      <c r="AD88" s="2"/>
    </row>
    <row r="89" spans="1:30" x14ac:dyDescent="0.25">
      <c r="A89" s="2"/>
      <c r="B89" s="21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22"/>
      <c r="AD89" s="2"/>
    </row>
    <row r="90" spans="1:30" x14ac:dyDescent="0.25">
      <c r="A90" s="2"/>
      <c r="B90" s="21"/>
      <c r="C90" s="14"/>
      <c r="D90" s="3"/>
      <c r="E90" s="4"/>
      <c r="F90" s="4"/>
      <c r="G90" s="5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22"/>
      <c r="AD90" s="2"/>
    </row>
    <row r="91" spans="1:30" x14ac:dyDescent="0.25">
      <c r="A91" s="2"/>
      <c r="B91" s="21"/>
      <c r="C91" s="14"/>
      <c r="D91" s="14"/>
      <c r="E91" s="14"/>
      <c r="F91" s="8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22"/>
      <c r="AD91" s="2"/>
    </row>
    <row r="92" spans="1:30" x14ac:dyDescent="0.25">
      <c r="A92" s="2"/>
      <c r="B92" s="21"/>
      <c r="C92" s="14"/>
      <c r="D92" s="14"/>
      <c r="E92" s="14"/>
      <c r="F92" s="13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22"/>
      <c r="AD92" s="2"/>
    </row>
    <row r="93" spans="1:30" x14ac:dyDescent="0.25">
      <c r="A93" s="2"/>
      <c r="B93" s="21"/>
      <c r="C93" s="14"/>
      <c r="D93" s="14"/>
      <c r="E93" s="14"/>
      <c r="F93" s="13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3"/>
      <c r="AA93" s="14"/>
      <c r="AB93" s="14"/>
      <c r="AC93" s="22"/>
      <c r="AD93" s="2"/>
    </row>
    <row r="94" spans="1:30" x14ac:dyDescent="0.25">
      <c r="A94" s="2"/>
      <c r="B94" s="21"/>
      <c r="C94" s="14"/>
      <c r="D94" s="14"/>
      <c r="E94" s="14"/>
      <c r="F94" s="13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3"/>
      <c r="AA94" s="14"/>
      <c r="AB94" s="14"/>
      <c r="AC94" s="22"/>
      <c r="AD94" s="2"/>
    </row>
    <row r="95" spans="1:30" x14ac:dyDescent="0.25">
      <c r="A95" s="2"/>
      <c r="B95" s="21"/>
      <c r="C95" s="14"/>
      <c r="D95" s="14"/>
      <c r="E95" s="14"/>
      <c r="F95" s="13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3"/>
      <c r="AA95" s="14"/>
      <c r="AB95" s="14"/>
      <c r="AC95" s="22"/>
      <c r="AD95" s="2"/>
    </row>
    <row r="96" spans="1:30" x14ac:dyDescent="0.25">
      <c r="A96" s="2"/>
      <c r="B96" s="21"/>
      <c r="C96" s="14"/>
      <c r="D96" s="14"/>
      <c r="E96" s="14"/>
      <c r="F96" s="13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3"/>
      <c r="AA96" s="14"/>
      <c r="AB96" s="14"/>
      <c r="AC96" s="22"/>
      <c r="AD96" s="2"/>
    </row>
    <row r="97" spans="1:40" x14ac:dyDescent="0.25">
      <c r="A97" s="2"/>
      <c r="B97" s="21"/>
      <c r="C97" s="14"/>
      <c r="D97" s="14"/>
      <c r="E97" s="14"/>
      <c r="F97" s="13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3"/>
      <c r="AA97" s="14"/>
      <c r="AB97" s="14"/>
      <c r="AC97" s="22"/>
      <c r="AD97" s="2"/>
    </row>
    <row r="98" spans="1:40" x14ac:dyDescent="0.25">
      <c r="A98" s="2"/>
      <c r="B98" s="21"/>
      <c r="C98" s="14"/>
      <c r="D98" s="14"/>
      <c r="E98" s="14"/>
      <c r="F98" s="13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3"/>
      <c r="AA98" s="14"/>
      <c r="AB98" s="14"/>
      <c r="AC98" s="22"/>
      <c r="AD98" s="2"/>
    </row>
    <row r="99" spans="1:40" x14ac:dyDescent="0.25">
      <c r="A99" s="2"/>
      <c r="B99" s="21"/>
      <c r="C99" s="14"/>
      <c r="D99" s="14"/>
      <c r="E99" s="14"/>
      <c r="F99" s="17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3"/>
      <c r="AA99" s="14"/>
      <c r="AB99" s="14"/>
      <c r="AC99" s="22"/>
      <c r="AD99" s="2"/>
    </row>
    <row r="100" spans="1:40" ht="15.6" thickBot="1" x14ac:dyDescent="0.3">
      <c r="A100" s="2"/>
      <c r="B100" s="24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6"/>
      <c r="AD100" s="2"/>
    </row>
    <row r="101" spans="1:40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</row>
    <row r="102" spans="1:40" ht="15.6" thickBo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40" x14ac:dyDescent="0.25">
      <c r="A103" s="2"/>
      <c r="B103" s="18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20"/>
      <c r="AD103" s="2"/>
    </row>
    <row r="104" spans="1:40" x14ac:dyDescent="0.25">
      <c r="A104" s="2"/>
      <c r="B104" s="21"/>
      <c r="C104" s="14"/>
      <c r="D104" s="14"/>
      <c r="E104" s="14"/>
      <c r="F104" s="14"/>
      <c r="G104" s="14"/>
      <c r="H104" s="14"/>
      <c r="I104" s="14"/>
      <c r="J104" s="14"/>
      <c r="K104" s="8"/>
      <c r="L104" s="9"/>
      <c r="M104" s="9"/>
      <c r="N104" s="9"/>
      <c r="O104" s="9"/>
      <c r="P104" s="9"/>
      <c r="Q104" s="9"/>
      <c r="R104" s="9"/>
      <c r="S104" s="10"/>
      <c r="T104" s="14"/>
      <c r="U104" s="14"/>
      <c r="V104" s="14"/>
      <c r="W104" s="14"/>
      <c r="X104" s="14"/>
      <c r="Y104" s="14"/>
      <c r="Z104" s="14"/>
      <c r="AA104" s="14"/>
      <c r="AB104" s="14"/>
      <c r="AC104" s="22"/>
      <c r="AD104" s="2"/>
    </row>
    <row r="105" spans="1:40" ht="15.6" x14ac:dyDescent="0.3">
      <c r="A105" s="2"/>
      <c r="B105" s="21"/>
      <c r="C105" s="14"/>
      <c r="D105" s="14"/>
      <c r="E105" s="14"/>
      <c r="F105" s="11"/>
      <c r="G105" s="11"/>
      <c r="H105" s="11"/>
      <c r="I105" s="11"/>
      <c r="J105" s="12"/>
      <c r="K105" s="13"/>
      <c r="L105" s="14"/>
      <c r="M105" s="14"/>
      <c r="N105" s="238">
        <v>2</v>
      </c>
      <c r="O105" s="238"/>
      <c r="P105" s="15" t="s">
        <v>1</v>
      </c>
      <c r="Q105" s="14"/>
      <c r="R105" s="14"/>
      <c r="S105" s="16"/>
      <c r="T105" s="17"/>
      <c r="U105" s="11"/>
      <c r="V105" s="11"/>
      <c r="W105" s="11"/>
      <c r="X105" s="11"/>
      <c r="Y105" s="11"/>
      <c r="Z105" s="14"/>
      <c r="AA105" s="14"/>
      <c r="AB105" s="14"/>
      <c r="AC105" s="22"/>
      <c r="AD105" s="2"/>
    </row>
    <row r="106" spans="1:40" x14ac:dyDescent="0.25">
      <c r="A106" s="2"/>
      <c r="B106" s="21"/>
      <c r="C106" s="14"/>
      <c r="D106" s="14"/>
      <c r="E106" s="14"/>
      <c r="F106" s="13"/>
      <c r="G106" s="14"/>
      <c r="H106" s="14"/>
      <c r="I106" s="10"/>
      <c r="J106" s="14"/>
      <c r="K106" s="13"/>
      <c r="L106" s="14"/>
      <c r="M106" s="14"/>
      <c r="N106" s="14"/>
      <c r="O106" s="14"/>
      <c r="P106" s="14"/>
      <c r="Q106" s="14"/>
      <c r="R106" s="14"/>
      <c r="S106" s="16"/>
      <c r="T106" s="14"/>
      <c r="U106" s="8"/>
      <c r="V106" s="14"/>
      <c r="W106" s="14"/>
      <c r="X106" s="14"/>
      <c r="Y106" s="14"/>
      <c r="Z106" s="13"/>
      <c r="AA106" s="14"/>
      <c r="AB106" s="14"/>
      <c r="AC106" s="22"/>
      <c r="AD106" s="2"/>
    </row>
    <row r="107" spans="1:40" x14ac:dyDescent="0.25">
      <c r="A107" s="2"/>
      <c r="B107" s="21"/>
      <c r="C107" s="14"/>
      <c r="D107" s="14"/>
      <c r="E107" s="14"/>
      <c r="F107" s="13"/>
      <c r="G107" s="14"/>
      <c r="H107" s="14"/>
      <c r="I107" s="16"/>
      <c r="J107" s="14"/>
      <c r="K107" s="17"/>
      <c r="L107" s="11"/>
      <c r="M107" s="11"/>
      <c r="N107" s="11"/>
      <c r="O107" s="11"/>
      <c r="P107" s="11"/>
      <c r="Q107" s="11"/>
      <c r="R107" s="11"/>
      <c r="S107" s="12"/>
      <c r="T107" s="14"/>
      <c r="U107" s="13"/>
      <c r="V107" s="14"/>
      <c r="W107" s="14"/>
      <c r="X107" s="14"/>
      <c r="Y107" s="14"/>
      <c r="Z107" s="13"/>
      <c r="AA107" s="14"/>
      <c r="AB107" s="14"/>
      <c r="AC107" s="22"/>
      <c r="AD107" s="2"/>
    </row>
    <row r="108" spans="1:40" x14ac:dyDescent="0.25">
      <c r="A108" s="2"/>
      <c r="B108" s="21"/>
      <c r="C108" s="14"/>
      <c r="D108" s="14"/>
      <c r="E108" s="14"/>
      <c r="F108" s="13"/>
      <c r="G108" s="14"/>
      <c r="H108" s="14"/>
      <c r="I108" s="16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3"/>
      <c r="V108" s="14"/>
      <c r="W108" s="14"/>
      <c r="X108" s="14"/>
      <c r="Y108" s="14"/>
      <c r="Z108" s="13"/>
      <c r="AA108" s="14"/>
      <c r="AB108" s="14"/>
      <c r="AC108" s="22"/>
      <c r="AD108" s="2"/>
    </row>
    <row r="109" spans="1:40" x14ac:dyDescent="0.25">
      <c r="A109" s="2"/>
      <c r="B109" s="21"/>
      <c r="C109" s="14"/>
      <c r="D109" s="14"/>
      <c r="E109" s="14"/>
      <c r="F109" s="13"/>
      <c r="G109" s="14"/>
      <c r="H109" s="14"/>
      <c r="I109" s="16"/>
      <c r="J109" s="14"/>
      <c r="K109" s="8"/>
      <c r="L109" s="9"/>
      <c r="M109" s="9"/>
      <c r="N109" s="9"/>
      <c r="O109" s="9"/>
      <c r="P109" s="9"/>
      <c r="Q109" s="9"/>
      <c r="R109" s="9"/>
      <c r="S109" s="10"/>
      <c r="T109" s="14"/>
      <c r="U109" s="13"/>
      <c r="V109" s="14"/>
      <c r="W109" s="14"/>
      <c r="X109" s="14"/>
      <c r="Y109" s="14"/>
      <c r="Z109" s="13"/>
      <c r="AA109" s="14"/>
      <c r="AB109" s="14"/>
      <c r="AC109" s="22"/>
      <c r="AD109" s="2"/>
    </row>
    <row r="110" spans="1:40" ht="15.6" x14ac:dyDescent="0.3">
      <c r="A110" s="2"/>
      <c r="B110" s="21"/>
      <c r="C110" s="14"/>
      <c r="D110" s="14"/>
      <c r="E110" s="14"/>
      <c r="F110" s="13"/>
      <c r="G110" s="14"/>
      <c r="H110" s="14"/>
      <c r="I110" s="16"/>
      <c r="J110" s="12"/>
      <c r="K110" s="13"/>
      <c r="L110" s="14"/>
      <c r="M110" s="14"/>
      <c r="N110" s="238">
        <v>4</v>
      </c>
      <c r="O110" s="238"/>
      <c r="P110" s="15" t="s">
        <v>1</v>
      </c>
      <c r="Q110" s="14"/>
      <c r="R110" s="14"/>
      <c r="S110" s="16"/>
      <c r="T110" s="17"/>
      <c r="U110" s="13"/>
      <c r="V110" s="14"/>
      <c r="W110" s="14"/>
      <c r="X110" s="14"/>
      <c r="Y110" s="14"/>
      <c r="Z110" s="13"/>
      <c r="AA110" s="14"/>
      <c r="AB110" s="14"/>
      <c r="AC110" s="22"/>
      <c r="AD110" s="2"/>
    </row>
    <row r="111" spans="1:40" x14ac:dyDescent="0.25">
      <c r="A111" s="2"/>
      <c r="B111" s="21"/>
      <c r="C111" s="14"/>
      <c r="D111" s="14"/>
      <c r="E111" s="14"/>
      <c r="F111" s="13"/>
      <c r="G111" s="14"/>
      <c r="H111" s="14"/>
      <c r="I111" s="16"/>
      <c r="J111" s="14"/>
      <c r="K111" s="13"/>
      <c r="L111" s="14"/>
      <c r="M111" s="14"/>
      <c r="N111" s="14"/>
      <c r="O111" s="14"/>
      <c r="P111" s="14"/>
      <c r="Q111" s="14"/>
      <c r="R111" s="14"/>
      <c r="S111" s="16"/>
      <c r="T111" s="14"/>
      <c r="U111" s="13"/>
      <c r="V111" s="14"/>
      <c r="W111" s="14"/>
      <c r="X111" s="14"/>
      <c r="Y111" s="14"/>
      <c r="Z111" s="13"/>
      <c r="AA111" s="14"/>
      <c r="AB111" s="14"/>
      <c r="AC111" s="22"/>
      <c r="AD111" s="2"/>
    </row>
    <row r="112" spans="1:40" x14ac:dyDescent="0.25">
      <c r="A112" s="2"/>
      <c r="B112" s="21"/>
      <c r="C112" s="14"/>
      <c r="D112" s="14"/>
      <c r="E112" s="14"/>
      <c r="F112" s="13"/>
      <c r="G112" s="14"/>
      <c r="H112" s="14"/>
      <c r="I112" s="16"/>
      <c r="J112" s="14"/>
      <c r="K112" s="17"/>
      <c r="L112" s="11"/>
      <c r="M112" s="11"/>
      <c r="N112" s="11"/>
      <c r="O112" s="11"/>
      <c r="P112" s="11"/>
      <c r="Q112" s="11"/>
      <c r="R112" s="11"/>
      <c r="S112" s="12"/>
      <c r="T112" s="14"/>
      <c r="U112" s="13"/>
      <c r="V112" s="14"/>
      <c r="W112" s="14"/>
      <c r="X112" s="14"/>
      <c r="Y112" s="14"/>
      <c r="Z112" s="13"/>
      <c r="AA112" s="14"/>
      <c r="AB112" s="14"/>
      <c r="AC112" s="22"/>
      <c r="AD112" s="2"/>
    </row>
    <row r="113" spans="1:30" x14ac:dyDescent="0.25">
      <c r="A113" s="2"/>
      <c r="B113" s="21"/>
      <c r="C113" s="14"/>
      <c r="D113" s="14"/>
      <c r="E113" s="14"/>
      <c r="F113" s="13"/>
      <c r="G113" s="14"/>
      <c r="H113" s="14"/>
      <c r="I113" s="16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3"/>
      <c r="V113" s="14"/>
      <c r="W113" s="14"/>
      <c r="X113" s="14"/>
      <c r="Y113" s="14"/>
      <c r="Z113" s="13"/>
      <c r="AA113" s="14"/>
      <c r="AB113" s="14"/>
      <c r="AC113" s="22"/>
      <c r="AD113" s="2"/>
    </row>
    <row r="114" spans="1:30" x14ac:dyDescent="0.25">
      <c r="A114" s="2"/>
      <c r="B114" s="21"/>
      <c r="C114" s="14"/>
      <c r="D114" s="14"/>
      <c r="E114" s="14"/>
      <c r="F114" s="13"/>
      <c r="G114" s="14"/>
      <c r="H114" s="14"/>
      <c r="I114" s="16"/>
      <c r="J114" s="14"/>
      <c r="K114" s="8"/>
      <c r="L114" s="9"/>
      <c r="M114" s="9"/>
      <c r="N114" s="9"/>
      <c r="O114" s="9"/>
      <c r="P114" s="9"/>
      <c r="Q114" s="9"/>
      <c r="R114" s="9"/>
      <c r="S114" s="10"/>
      <c r="T114" s="14"/>
      <c r="U114" s="13"/>
      <c r="V114" s="14"/>
      <c r="W114" s="14"/>
      <c r="X114" s="14"/>
      <c r="Y114" s="14"/>
      <c r="Z114" s="13"/>
      <c r="AA114" s="14"/>
      <c r="AB114" s="14"/>
      <c r="AC114" s="22"/>
      <c r="AD114" s="2"/>
    </row>
    <row r="115" spans="1:30" ht="15.6" x14ac:dyDescent="0.3">
      <c r="A115" s="2"/>
      <c r="B115" s="21"/>
      <c r="C115" s="14"/>
      <c r="D115" s="14"/>
      <c r="E115" s="14"/>
      <c r="F115" s="13"/>
      <c r="G115" s="14"/>
      <c r="H115" s="14"/>
      <c r="I115" s="16"/>
      <c r="J115" s="12"/>
      <c r="K115" s="13"/>
      <c r="L115" s="14"/>
      <c r="M115" s="14"/>
      <c r="N115" s="238">
        <v>6</v>
      </c>
      <c r="O115" s="238"/>
      <c r="P115" s="15" t="s">
        <v>1</v>
      </c>
      <c r="Q115" s="14"/>
      <c r="R115" s="14"/>
      <c r="S115" s="16"/>
      <c r="T115" s="17"/>
      <c r="U115" s="13"/>
      <c r="V115" s="14"/>
      <c r="W115" s="14"/>
      <c r="X115" s="14"/>
      <c r="Y115" s="14"/>
      <c r="Z115" s="13"/>
      <c r="AA115" s="14"/>
      <c r="AB115" s="14"/>
      <c r="AC115" s="22"/>
      <c r="AD115" s="2"/>
    </row>
    <row r="116" spans="1:30" x14ac:dyDescent="0.25">
      <c r="A116" s="2"/>
      <c r="B116" s="21"/>
      <c r="C116" s="14"/>
      <c r="D116" s="14"/>
      <c r="E116" s="14"/>
      <c r="F116" s="13"/>
      <c r="G116" s="14"/>
      <c r="H116" s="14"/>
      <c r="I116" s="14"/>
      <c r="J116" s="14"/>
      <c r="K116" s="13"/>
      <c r="L116" s="14"/>
      <c r="M116" s="14"/>
      <c r="N116" s="14"/>
      <c r="O116" s="14"/>
      <c r="P116" s="14"/>
      <c r="Q116" s="14"/>
      <c r="R116" s="14"/>
      <c r="S116" s="16"/>
      <c r="T116" s="14"/>
      <c r="U116" s="14"/>
      <c r="V116" s="14"/>
      <c r="W116" s="14"/>
      <c r="X116" s="14"/>
      <c r="Y116" s="14"/>
      <c r="Z116" s="13"/>
      <c r="AA116" s="14"/>
      <c r="AB116" s="14"/>
      <c r="AC116" s="22"/>
      <c r="AD116" s="2"/>
    </row>
    <row r="117" spans="1:30" x14ac:dyDescent="0.25">
      <c r="A117" s="2"/>
      <c r="B117" s="21"/>
      <c r="C117" s="14"/>
      <c r="D117" s="14"/>
      <c r="E117" s="14"/>
      <c r="F117" s="13"/>
      <c r="G117" s="14"/>
      <c r="H117" s="14"/>
      <c r="I117" s="14"/>
      <c r="J117" s="14"/>
      <c r="K117" s="17"/>
      <c r="L117" s="11"/>
      <c r="M117" s="11"/>
      <c r="N117" s="11"/>
      <c r="O117" s="11"/>
      <c r="P117" s="11"/>
      <c r="Q117" s="11"/>
      <c r="R117" s="11"/>
      <c r="S117" s="12"/>
      <c r="T117" s="14"/>
      <c r="U117" s="14"/>
      <c r="V117" s="14"/>
      <c r="W117" s="14"/>
      <c r="X117" s="14"/>
      <c r="Y117" s="14"/>
      <c r="Z117" s="13"/>
      <c r="AA117" s="14"/>
      <c r="AB117" s="14"/>
      <c r="AC117" s="22"/>
      <c r="AD117" s="2"/>
    </row>
    <row r="118" spans="1:30" x14ac:dyDescent="0.25">
      <c r="A118" s="2"/>
      <c r="B118" s="21"/>
      <c r="C118" s="14"/>
      <c r="D118" s="14"/>
      <c r="E118" s="14"/>
      <c r="F118" s="13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3"/>
      <c r="AA118" s="14"/>
      <c r="AB118" s="14"/>
      <c r="AC118" s="22"/>
      <c r="AD118" s="2"/>
    </row>
    <row r="119" spans="1:30" x14ac:dyDescent="0.25">
      <c r="A119" s="2"/>
      <c r="B119" s="21"/>
      <c r="C119" s="14"/>
      <c r="D119" s="14"/>
      <c r="E119" s="14"/>
      <c r="F119" s="13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3"/>
      <c r="AA119" s="14"/>
      <c r="AB119" s="14"/>
      <c r="AC119" s="22"/>
      <c r="AD119" s="2"/>
    </row>
    <row r="120" spans="1:30" x14ac:dyDescent="0.25">
      <c r="A120" s="2"/>
      <c r="B120" s="21"/>
      <c r="C120" s="14"/>
      <c r="D120" s="14"/>
      <c r="E120" s="14"/>
      <c r="F120" s="13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3"/>
      <c r="AA120" s="14"/>
      <c r="AB120" s="14"/>
      <c r="AC120" s="22"/>
      <c r="AD120" s="2"/>
    </row>
    <row r="121" spans="1:30" x14ac:dyDescent="0.25">
      <c r="A121" s="2"/>
      <c r="B121" s="21"/>
      <c r="C121" s="14"/>
      <c r="D121" s="14"/>
      <c r="E121" s="14"/>
      <c r="F121" s="13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3"/>
      <c r="AA121" s="14"/>
      <c r="AB121" s="14"/>
      <c r="AC121" s="22"/>
      <c r="AD121" s="2"/>
    </row>
    <row r="122" spans="1:30" x14ac:dyDescent="0.25">
      <c r="A122" s="2"/>
      <c r="B122" s="21"/>
      <c r="C122" s="14"/>
      <c r="D122" s="14"/>
      <c r="E122" s="14"/>
      <c r="F122" s="13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3"/>
      <c r="AA122" s="14"/>
      <c r="AB122" s="14"/>
      <c r="AC122" s="22"/>
      <c r="AD122" s="2"/>
    </row>
    <row r="123" spans="1:30" x14ac:dyDescent="0.25">
      <c r="A123" s="2"/>
      <c r="B123" s="21"/>
      <c r="C123" s="14"/>
      <c r="D123" s="14"/>
      <c r="E123" s="14"/>
      <c r="F123" s="13"/>
      <c r="G123" s="238">
        <v>12</v>
      </c>
      <c r="H123" s="238"/>
      <c r="I123" s="23" t="s">
        <v>0</v>
      </c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3"/>
      <c r="AA123" s="14"/>
      <c r="AB123" s="14"/>
      <c r="AC123" s="22"/>
      <c r="AD123" s="2"/>
    </row>
    <row r="124" spans="1:30" x14ac:dyDescent="0.25">
      <c r="A124" s="2"/>
      <c r="B124" s="21"/>
      <c r="C124" s="14"/>
      <c r="D124" s="14"/>
      <c r="E124" s="14"/>
      <c r="F124" s="13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3"/>
      <c r="AA124" s="14"/>
      <c r="AB124" s="14"/>
      <c r="AC124" s="22"/>
      <c r="AD124" s="2"/>
    </row>
    <row r="125" spans="1:30" x14ac:dyDescent="0.25">
      <c r="A125" s="2"/>
      <c r="B125" s="21"/>
      <c r="C125" s="11"/>
      <c r="D125" s="11"/>
      <c r="E125" s="11"/>
      <c r="F125" s="17"/>
      <c r="G125" s="11"/>
      <c r="H125" s="11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3"/>
      <c r="AA125" s="14"/>
      <c r="AB125" s="14"/>
      <c r="AC125" s="22"/>
      <c r="AD125" s="2"/>
    </row>
    <row r="126" spans="1:30" x14ac:dyDescent="0.25">
      <c r="A126" s="2"/>
      <c r="B126" s="21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3"/>
      <c r="AA126" s="14"/>
      <c r="AB126" s="14"/>
      <c r="AC126" s="22"/>
      <c r="AD126" s="2"/>
    </row>
    <row r="127" spans="1:30" x14ac:dyDescent="0.25">
      <c r="A127" s="2"/>
      <c r="B127" s="21"/>
      <c r="C127" s="14"/>
      <c r="D127" s="3"/>
      <c r="E127" s="4"/>
      <c r="F127" s="4"/>
      <c r="G127" s="5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22"/>
      <c r="AD127" s="2"/>
    </row>
    <row r="128" spans="1:30" x14ac:dyDescent="0.25">
      <c r="A128" s="2"/>
      <c r="B128" s="21"/>
      <c r="C128" s="11"/>
      <c r="D128" s="11"/>
      <c r="E128" s="11"/>
      <c r="F128" s="11"/>
      <c r="G128" s="11"/>
      <c r="H128" s="11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22"/>
      <c r="AD128" s="2"/>
    </row>
    <row r="129" spans="1:42" x14ac:dyDescent="0.25">
      <c r="A129" s="2"/>
      <c r="B129" s="21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22"/>
      <c r="AD129" s="2"/>
    </row>
    <row r="130" spans="1:42" x14ac:dyDescent="0.25">
      <c r="A130" s="2"/>
      <c r="B130" s="21"/>
      <c r="C130" s="14"/>
      <c r="D130" s="3"/>
      <c r="E130" s="4"/>
      <c r="F130" s="4"/>
      <c r="G130" s="5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22"/>
      <c r="AD130" s="2"/>
    </row>
    <row r="131" spans="1:42" x14ac:dyDescent="0.25">
      <c r="A131" s="2"/>
      <c r="B131" s="21"/>
      <c r="C131" s="11"/>
      <c r="D131" s="11"/>
      <c r="E131" s="11"/>
      <c r="F131" s="11"/>
      <c r="G131" s="11"/>
      <c r="H131" s="11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239">
        <f>G123/(1/   (1/N105+1/N110+1/N115))</f>
        <v>10.999999999999998</v>
      </c>
      <c r="Z131" s="239"/>
      <c r="AA131" s="27" t="s">
        <v>2</v>
      </c>
      <c r="AB131" s="14"/>
      <c r="AC131" s="22"/>
      <c r="AD131" s="2"/>
      <c r="AF131" s="1">
        <f>10/3.33</f>
        <v>3.0030030030030028</v>
      </c>
    </row>
    <row r="132" spans="1:42" x14ac:dyDescent="0.25">
      <c r="A132" s="2"/>
      <c r="B132" s="21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22"/>
      <c r="AD132" s="2"/>
    </row>
    <row r="133" spans="1:42" x14ac:dyDescent="0.25">
      <c r="A133" s="2"/>
      <c r="B133" s="21"/>
      <c r="C133" s="14"/>
      <c r="D133" s="3"/>
      <c r="E133" s="4"/>
      <c r="F133" s="4"/>
      <c r="G133" s="5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22"/>
      <c r="AD133" s="2"/>
    </row>
    <row r="134" spans="1:42" x14ac:dyDescent="0.25">
      <c r="A134" s="2"/>
      <c r="B134" s="21"/>
      <c r="C134" s="14"/>
      <c r="D134" s="14"/>
      <c r="E134" s="14"/>
      <c r="F134" s="8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22"/>
      <c r="AD134" s="2"/>
    </row>
    <row r="135" spans="1:42" x14ac:dyDescent="0.25">
      <c r="A135" s="2"/>
      <c r="B135" s="21"/>
      <c r="C135" s="14"/>
      <c r="D135" s="14"/>
      <c r="E135" s="14"/>
      <c r="F135" s="13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22"/>
      <c r="AD135" s="2"/>
    </row>
    <row r="136" spans="1:42" x14ac:dyDescent="0.25">
      <c r="A136" s="2"/>
      <c r="B136" s="21"/>
      <c r="C136" s="14"/>
      <c r="D136" s="14"/>
      <c r="E136" s="14"/>
      <c r="F136" s="13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3"/>
      <c r="AA136" s="14"/>
      <c r="AB136" s="14"/>
      <c r="AC136" s="22"/>
      <c r="AD136" s="2"/>
    </row>
    <row r="137" spans="1:42" x14ac:dyDescent="0.25">
      <c r="A137" s="2"/>
      <c r="B137" s="21"/>
      <c r="C137" s="14"/>
      <c r="D137" s="14"/>
      <c r="E137" s="14"/>
      <c r="F137" s="17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3"/>
      <c r="AA137" s="14"/>
      <c r="AB137" s="14"/>
      <c r="AC137" s="22"/>
      <c r="AD137" s="2"/>
    </row>
    <row r="138" spans="1:42" ht="15.6" thickBot="1" x14ac:dyDescent="0.3">
      <c r="A138" s="2"/>
      <c r="B138" s="24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6"/>
      <c r="AD138" s="2"/>
    </row>
    <row r="139" spans="1:4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1:42" ht="15.6" thickBo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P140" s="6"/>
    </row>
    <row r="141" spans="1:42" x14ac:dyDescent="0.25">
      <c r="A141" s="2"/>
      <c r="B141" s="18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20"/>
      <c r="AP141" s="6"/>
    </row>
    <row r="142" spans="1:42" x14ac:dyDescent="0.25">
      <c r="A142" s="2"/>
      <c r="B142" s="21"/>
      <c r="C142" s="14"/>
      <c r="D142" s="14"/>
      <c r="E142" s="14"/>
      <c r="F142" s="14"/>
      <c r="G142" s="14"/>
      <c r="H142" s="14"/>
      <c r="I142" s="14"/>
      <c r="J142" s="14"/>
      <c r="K142" s="8"/>
      <c r="L142" s="9"/>
      <c r="M142" s="9"/>
      <c r="N142" s="9"/>
      <c r="O142" s="9"/>
      <c r="P142" s="9"/>
      <c r="Q142" s="9"/>
      <c r="R142" s="9"/>
      <c r="S142" s="10"/>
      <c r="T142" s="14"/>
      <c r="U142" s="14"/>
      <c r="V142" s="14"/>
      <c r="W142" s="8"/>
      <c r="X142" s="9"/>
      <c r="Y142" s="9"/>
      <c r="Z142" s="9"/>
      <c r="AA142" s="9"/>
      <c r="AB142" s="9"/>
      <c r="AC142" s="9"/>
      <c r="AD142" s="9"/>
      <c r="AE142" s="10"/>
      <c r="AF142" s="14"/>
      <c r="AG142" s="14"/>
      <c r="AH142" s="14"/>
      <c r="AI142" s="14"/>
      <c r="AJ142" s="14"/>
      <c r="AK142" s="14"/>
      <c r="AL142" s="14"/>
      <c r="AM142" s="14"/>
      <c r="AN142" s="14"/>
      <c r="AO142" s="22"/>
      <c r="AP142" s="6"/>
    </row>
    <row r="143" spans="1:42" ht="15.6" x14ac:dyDescent="0.3">
      <c r="A143" s="2"/>
      <c r="B143" s="21"/>
      <c r="C143" s="14"/>
      <c r="D143" s="14"/>
      <c r="E143" s="14"/>
      <c r="F143" s="11"/>
      <c r="G143" s="11"/>
      <c r="H143" s="11"/>
      <c r="I143" s="11"/>
      <c r="J143" s="12"/>
      <c r="K143" s="13"/>
      <c r="L143" s="14"/>
      <c r="M143" s="14"/>
      <c r="N143" s="238">
        <v>10</v>
      </c>
      <c r="O143" s="238"/>
      <c r="P143" s="15" t="s">
        <v>1</v>
      </c>
      <c r="Q143" s="14"/>
      <c r="R143" s="14"/>
      <c r="S143" s="16"/>
      <c r="T143" s="17"/>
      <c r="U143" s="11"/>
      <c r="V143" s="12"/>
      <c r="W143" s="13"/>
      <c r="X143" s="14"/>
      <c r="Y143" s="14"/>
      <c r="Z143" s="238">
        <v>10</v>
      </c>
      <c r="AA143" s="238"/>
      <c r="AB143" s="15" t="s">
        <v>1</v>
      </c>
      <c r="AC143" s="14"/>
      <c r="AD143" s="14"/>
      <c r="AE143" s="16"/>
      <c r="AF143" s="17"/>
      <c r="AG143" s="11"/>
      <c r="AH143" s="11"/>
      <c r="AI143" s="11"/>
      <c r="AJ143" s="11"/>
      <c r="AK143" s="11"/>
      <c r="AL143" s="14"/>
      <c r="AM143" s="14"/>
      <c r="AN143" s="14"/>
      <c r="AO143" s="22"/>
      <c r="AP143" s="6"/>
    </row>
    <row r="144" spans="1:42" x14ac:dyDescent="0.25">
      <c r="A144" s="2"/>
      <c r="B144" s="21"/>
      <c r="C144" s="14"/>
      <c r="D144" s="14"/>
      <c r="E144" s="14"/>
      <c r="F144" s="13"/>
      <c r="G144" s="14"/>
      <c r="H144" s="14"/>
      <c r="I144" s="14"/>
      <c r="J144" s="14"/>
      <c r="K144" s="13"/>
      <c r="L144" s="14"/>
      <c r="M144" s="14"/>
      <c r="N144" s="14"/>
      <c r="O144" s="14"/>
      <c r="P144" s="14"/>
      <c r="Q144" s="14"/>
      <c r="R144" s="14"/>
      <c r="S144" s="16"/>
      <c r="T144" s="14"/>
      <c r="U144" s="10"/>
      <c r="V144" s="14"/>
      <c r="W144" s="13"/>
      <c r="X144" s="14"/>
      <c r="Y144" s="14"/>
      <c r="Z144" s="14"/>
      <c r="AA144" s="14"/>
      <c r="AB144" s="14"/>
      <c r="AC144" s="14"/>
      <c r="AD144" s="14"/>
      <c r="AE144" s="16"/>
      <c r="AF144" s="14"/>
      <c r="AG144" s="8"/>
      <c r="AH144" s="14"/>
      <c r="AI144" s="14"/>
      <c r="AJ144" s="14"/>
      <c r="AK144" s="14"/>
      <c r="AL144" s="13"/>
      <c r="AM144" s="14"/>
      <c r="AN144" s="14"/>
      <c r="AO144" s="22"/>
      <c r="AP144" s="6"/>
    </row>
    <row r="145" spans="1:42" x14ac:dyDescent="0.25">
      <c r="A145" s="2"/>
      <c r="B145" s="21"/>
      <c r="C145" s="14"/>
      <c r="D145" s="14"/>
      <c r="E145" s="14"/>
      <c r="F145" s="13"/>
      <c r="G145" s="14"/>
      <c r="H145" s="14"/>
      <c r="I145" s="14"/>
      <c r="J145" s="14"/>
      <c r="K145" s="17"/>
      <c r="L145" s="11"/>
      <c r="M145" s="11"/>
      <c r="N145" s="11"/>
      <c r="O145" s="11"/>
      <c r="P145" s="11"/>
      <c r="Q145" s="11"/>
      <c r="R145" s="11"/>
      <c r="S145" s="12"/>
      <c r="T145" s="14"/>
      <c r="U145" s="16"/>
      <c r="V145" s="14"/>
      <c r="W145" s="17"/>
      <c r="X145" s="11"/>
      <c r="Y145" s="11"/>
      <c r="Z145" s="11"/>
      <c r="AA145" s="11"/>
      <c r="AB145" s="11"/>
      <c r="AC145" s="11"/>
      <c r="AD145" s="11"/>
      <c r="AE145" s="12"/>
      <c r="AF145" s="14"/>
      <c r="AG145" s="13"/>
      <c r="AH145" s="14"/>
      <c r="AI145" s="14"/>
      <c r="AJ145" s="14"/>
      <c r="AK145" s="14"/>
      <c r="AL145" s="13"/>
      <c r="AM145" s="14"/>
      <c r="AN145" s="14"/>
      <c r="AO145" s="22"/>
      <c r="AP145" s="6"/>
    </row>
    <row r="146" spans="1:42" x14ac:dyDescent="0.25">
      <c r="A146" s="2"/>
      <c r="B146" s="21"/>
      <c r="C146" s="14"/>
      <c r="D146" s="14"/>
      <c r="E146" s="14"/>
      <c r="F146" s="13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6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3"/>
      <c r="AH146" s="14"/>
      <c r="AI146" s="14"/>
      <c r="AJ146" s="14"/>
      <c r="AK146" s="14"/>
      <c r="AL146" s="13"/>
      <c r="AM146" s="14"/>
      <c r="AN146" s="14"/>
      <c r="AO146" s="22"/>
      <c r="AP146" s="6"/>
    </row>
    <row r="147" spans="1:42" x14ac:dyDescent="0.25">
      <c r="A147" s="2"/>
      <c r="B147" s="21"/>
      <c r="C147" s="14"/>
      <c r="D147" s="14"/>
      <c r="E147" s="14"/>
      <c r="F147" s="13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6"/>
      <c r="V147" s="14"/>
      <c r="W147" s="8"/>
      <c r="X147" s="9"/>
      <c r="Y147" s="9"/>
      <c r="Z147" s="9"/>
      <c r="AA147" s="9"/>
      <c r="AB147" s="9"/>
      <c r="AC147" s="9"/>
      <c r="AD147" s="9"/>
      <c r="AE147" s="10"/>
      <c r="AF147" s="14"/>
      <c r="AG147" s="13"/>
      <c r="AH147" s="14"/>
      <c r="AI147" s="14"/>
      <c r="AJ147" s="14"/>
      <c r="AK147" s="14"/>
      <c r="AL147" s="13"/>
      <c r="AM147" s="14"/>
      <c r="AN147" s="14"/>
      <c r="AO147" s="22"/>
      <c r="AP147" s="6"/>
    </row>
    <row r="148" spans="1:42" ht="15.6" x14ac:dyDescent="0.3">
      <c r="A148" s="2"/>
      <c r="B148" s="21"/>
      <c r="C148" s="14"/>
      <c r="D148" s="14"/>
      <c r="E148" s="14"/>
      <c r="F148" s="13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6"/>
      <c r="V148" s="29"/>
      <c r="W148" s="13"/>
      <c r="X148" s="14"/>
      <c r="Y148" s="14"/>
      <c r="Z148" s="238">
        <v>10</v>
      </c>
      <c r="AA148" s="238"/>
      <c r="AB148" s="15" t="s">
        <v>1</v>
      </c>
      <c r="AC148" s="14"/>
      <c r="AD148" s="14"/>
      <c r="AE148" s="16"/>
      <c r="AF148" s="29"/>
      <c r="AG148" s="13"/>
      <c r="AH148" s="14"/>
      <c r="AI148" s="14"/>
      <c r="AJ148" s="14"/>
      <c r="AK148" s="14"/>
      <c r="AL148" s="13"/>
      <c r="AM148" s="14"/>
      <c r="AN148" s="14"/>
      <c r="AO148" s="22"/>
      <c r="AP148" s="6"/>
    </row>
    <row r="149" spans="1:42" x14ac:dyDescent="0.25">
      <c r="A149" s="2"/>
      <c r="B149" s="21"/>
      <c r="C149" s="14"/>
      <c r="D149" s="14"/>
      <c r="E149" s="14"/>
      <c r="F149" s="13"/>
      <c r="G149" s="238">
        <v>4.5</v>
      </c>
      <c r="H149" s="238"/>
      <c r="I149" s="23" t="s">
        <v>0</v>
      </c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3"/>
      <c r="X149" s="14"/>
      <c r="Y149" s="14"/>
      <c r="Z149" s="14"/>
      <c r="AA149" s="14"/>
      <c r="AB149" s="14"/>
      <c r="AC149" s="14"/>
      <c r="AD149" s="14"/>
      <c r="AE149" s="16"/>
      <c r="AF149" s="14"/>
      <c r="AG149" s="14"/>
      <c r="AH149" s="14"/>
      <c r="AI149" s="14"/>
      <c r="AJ149" s="14"/>
      <c r="AK149" s="14"/>
      <c r="AL149" s="13"/>
      <c r="AM149" s="14"/>
      <c r="AN149" s="14"/>
      <c r="AO149" s="22"/>
      <c r="AP149" s="6"/>
    </row>
    <row r="150" spans="1:42" x14ac:dyDescent="0.25">
      <c r="A150" s="2"/>
      <c r="B150" s="21"/>
      <c r="C150" s="14"/>
      <c r="D150" s="14"/>
      <c r="E150" s="14"/>
      <c r="F150" s="13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7"/>
      <c r="X150" s="11"/>
      <c r="Y150" s="11"/>
      <c r="Z150" s="11"/>
      <c r="AA150" s="11"/>
      <c r="AB150" s="11"/>
      <c r="AC150" s="11"/>
      <c r="AD150" s="11"/>
      <c r="AE150" s="12"/>
      <c r="AF150" s="14"/>
      <c r="AG150" s="14"/>
      <c r="AH150" s="14"/>
      <c r="AI150" s="14"/>
      <c r="AJ150" s="14"/>
      <c r="AK150" s="14"/>
      <c r="AL150" s="13"/>
      <c r="AM150" s="14"/>
      <c r="AN150" s="14"/>
      <c r="AO150" s="22"/>
      <c r="AP150" s="6"/>
    </row>
    <row r="151" spans="1:42" x14ac:dyDescent="0.25">
      <c r="A151" s="2"/>
      <c r="B151" s="21"/>
      <c r="C151" s="11"/>
      <c r="D151" s="11"/>
      <c r="E151" s="11"/>
      <c r="F151" s="17"/>
      <c r="G151" s="11"/>
      <c r="H151" s="11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3"/>
      <c r="AM151" s="14"/>
      <c r="AN151" s="14"/>
      <c r="AO151" s="22"/>
      <c r="AP151" s="6"/>
    </row>
    <row r="152" spans="1:42" x14ac:dyDescent="0.25">
      <c r="A152" s="2"/>
      <c r="B152" s="21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3"/>
      <c r="AM152" s="14"/>
      <c r="AN152" s="14"/>
      <c r="AO152" s="22"/>
      <c r="AP152" s="6"/>
    </row>
    <row r="153" spans="1:42" x14ac:dyDescent="0.25">
      <c r="A153" s="2"/>
      <c r="B153" s="21"/>
      <c r="C153" s="14"/>
      <c r="D153" s="3"/>
      <c r="E153" s="4"/>
      <c r="F153" s="4"/>
      <c r="G153" s="5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22"/>
      <c r="AP153" s="6"/>
    </row>
    <row r="154" spans="1:42" x14ac:dyDescent="0.25">
      <c r="A154" s="2"/>
      <c r="B154" s="21"/>
      <c r="C154" s="11"/>
      <c r="D154" s="11"/>
      <c r="E154" s="11"/>
      <c r="F154" s="11"/>
      <c r="G154" s="11"/>
      <c r="H154" s="11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22"/>
      <c r="AP154" s="6"/>
    </row>
    <row r="155" spans="1:42" x14ac:dyDescent="0.25">
      <c r="A155" s="2"/>
      <c r="B155" s="21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22"/>
      <c r="AP155" s="6"/>
    </row>
    <row r="156" spans="1:42" x14ac:dyDescent="0.25">
      <c r="A156" s="2"/>
      <c r="B156" s="21"/>
      <c r="C156" s="14"/>
      <c r="D156" s="3"/>
      <c r="E156" s="4"/>
      <c r="F156" s="4"/>
      <c r="G156" s="5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22"/>
      <c r="AP156" s="6"/>
    </row>
    <row r="157" spans="1:42" x14ac:dyDescent="0.25">
      <c r="A157" s="2"/>
      <c r="B157" s="21"/>
      <c r="C157" s="11"/>
      <c r="D157" s="11"/>
      <c r="E157" s="11"/>
      <c r="F157" s="11"/>
      <c r="G157" s="11"/>
      <c r="H157" s="11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239">
        <f>G149/(((Z143*Z148)/(Z143+Z148))+N143)</f>
        <v>0.3</v>
      </c>
      <c r="AL157" s="239"/>
      <c r="AM157" s="27" t="s">
        <v>2</v>
      </c>
      <c r="AN157" s="14"/>
      <c r="AO157" s="22"/>
      <c r="AP157" s="6"/>
    </row>
    <row r="158" spans="1:42" x14ac:dyDescent="0.25">
      <c r="A158" s="2"/>
      <c r="B158" s="21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22"/>
      <c r="AP158" s="6"/>
    </row>
    <row r="159" spans="1:42" x14ac:dyDescent="0.25">
      <c r="A159" s="2"/>
      <c r="B159" s="21"/>
      <c r="C159" s="14"/>
      <c r="D159" s="3"/>
      <c r="E159" s="4"/>
      <c r="F159" s="4"/>
      <c r="G159" s="5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22"/>
      <c r="AP159" s="6"/>
    </row>
    <row r="160" spans="1:42" x14ac:dyDescent="0.25">
      <c r="A160" s="2"/>
      <c r="B160" s="21"/>
      <c r="C160" s="14"/>
      <c r="D160" s="14"/>
      <c r="E160" s="14"/>
      <c r="F160" s="8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22"/>
      <c r="AP160" s="6"/>
    </row>
    <row r="161" spans="1:44" x14ac:dyDescent="0.25">
      <c r="A161" s="2"/>
      <c r="B161" s="21"/>
      <c r="C161" s="14"/>
      <c r="D161" s="14"/>
      <c r="E161" s="14"/>
      <c r="F161" s="13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22"/>
      <c r="AP161" s="6"/>
    </row>
    <row r="162" spans="1:44" x14ac:dyDescent="0.25">
      <c r="A162" s="2"/>
      <c r="B162" s="21"/>
      <c r="C162" s="14"/>
      <c r="D162" s="14"/>
      <c r="E162" s="14"/>
      <c r="F162" s="13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3"/>
      <c r="AM162" s="14"/>
      <c r="AN162" s="14"/>
      <c r="AO162" s="22"/>
      <c r="AP162" s="6"/>
    </row>
    <row r="163" spans="1:44" x14ac:dyDescent="0.25">
      <c r="A163" s="2"/>
      <c r="B163" s="21"/>
      <c r="C163" s="14"/>
      <c r="D163" s="14"/>
      <c r="E163" s="14"/>
      <c r="F163" s="13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3"/>
      <c r="AM163" s="14"/>
      <c r="AN163" s="14"/>
      <c r="AO163" s="22"/>
      <c r="AP163" s="6"/>
    </row>
    <row r="164" spans="1:44" x14ac:dyDescent="0.25">
      <c r="A164" s="2"/>
      <c r="B164" s="21"/>
      <c r="C164" s="14"/>
      <c r="D164" s="14"/>
      <c r="E164" s="14"/>
      <c r="F164" s="13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3"/>
      <c r="AM164" s="14"/>
      <c r="AN164" s="14"/>
      <c r="AO164" s="22"/>
      <c r="AP164" s="6"/>
    </row>
    <row r="165" spans="1:44" x14ac:dyDescent="0.25">
      <c r="A165" s="2"/>
      <c r="B165" s="21"/>
      <c r="C165" s="14"/>
      <c r="D165" s="14"/>
      <c r="E165" s="14"/>
      <c r="F165" s="13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3"/>
      <c r="AM165" s="14"/>
      <c r="AN165" s="14"/>
      <c r="AO165" s="22"/>
      <c r="AP165" s="6"/>
    </row>
    <row r="166" spans="1:44" x14ac:dyDescent="0.25">
      <c r="A166" s="2"/>
      <c r="B166" s="21"/>
      <c r="C166" s="14"/>
      <c r="D166" s="14"/>
      <c r="E166" s="14"/>
      <c r="F166" s="13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3"/>
      <c r="AM166" s="14"/>
      <c r="AN166" s="14"/>
      <c r="AO166" s="22"/>
      <c r="AP166" s="6"/>
    </row>
    <row r="167" spans="1:44" x14ac:dyDescent="0.25">
      <c r="A167" s="2"/>
      <c r="B167" s="21"/>
      <c r="C167" s="14"/>
      <c r="D167" s="14"/>
      <c r="E167" s="14"/>
      <c r="F167" s="13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3"/>
      <c r="AM167" s="14"/>
      <c r="AN167" s="14"/>
      <c r="AO167" s="22"/>
      <c r="AP167" s="6"/>
    </row>
    <row r="168" spans="1:44" x14ac:dyDescent="0.25">
      <c r="A168" s="2"/>
      <c r="B168" s="21"/>
      <c r="C168" s="14"/>
      <c r="D168" s="14"/>
      <c r="E168" s="14"/>
      <c r="F168" s="17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3"/>
      <c r="AM168" s="14"/>
      <c r="AN168" s="14"/>
      <c r="AO168" s="22"/>
      <c r="AP168" s="6"/>
    </row>
    <row r="169" spans="1:44" ht="15.6" thickBot="1" x14ac:dyDescent="0.3">
      <c r="A169" s="2"/>
      <c r="B169" s="24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6"/>
      <c r="AP169" s="6"/>
    </row>
    <row r="170" spans="1:44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spans="1:44" ht="15.6" thickBo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P171" s="6"/>
      <c r="AQ171" s="6"/>
      <c r="AR171" s="6"/>
    </row>
    <row r="172" spans="1:44" x14ac:dyDescent="0.25">
      <c r="A172" s="2"/>
      <c r="B172" s="18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20"/>
      <c r="AP172" s="6"/>
      <c r="AQ172" s="7"/>
      <c r="AR172" s="7"/>
    </row>
    <row r="173" spans="1:44" x14ac:dyDescent="0.25">
      <c r="A173" s="2"/>
      <c r="B173" s="21"/>
      <c r="C173" s="14"/>
      <c r="D173" s="14"/>
      <c r="E173" s="14"/>
      <c r="F173" s="14"/>
      <c r="G173" s="14"/>
      <c r="H173" s="14"/>
      <c r="I173" s="14"/>
      <c r="J173" s="14"/>
      <c r="K173" s="8"/>
      <c r="L173" s="9"/>
      <c r="M173" s="9"/>
      <c r="N173" s="9"/>
      <c r="O173" s="9"/>
      <c r="P173" s="9"/>
      <c r="Q173" s="9"/>
      <c r="R173" s="9"/>
      <c r="S173" s="10"/>
      <c r="T173" s="14"/>
      <c r="U173" s="14"/>
      <c r="V173" s="14"/>
      <c r="W173" s="8"/>
      <c r="X173" s="9"/>
      <c r="Y173" s="9"/>
      <c r="Z173" s="9"/>
      <c r="AA173" s="9"/>
      <c r="AB173" s="9"/>
      <c r="AC173" s="9"/>
      <c r="AD173" s="9"/>
      <c r="AE173" s="10"/>
      <c r="AF173" s="14"/>
      <c r="AG173" s="14"/>
      <c r="AH173" s="14"/>
      <c r="AI173" s="14"/>
      <c r="AJ173" s="14"/>
      <c r="AK173" s="14"/>
      <c r="AL173" s="14"/>
      <c r="AM173" s="14"/>
      <c r="AN173" s="14"/>
      <c r="AO173" s="22"/>
      <c r="AP173" s="6"/>
      <c r="AQ173" s="7"/>
      <c r="AR173" s="7"/>
    </row>
    <row r="174" spans="1:44" ht="15.6" x14ac:dyDescent="0.3">
      <c r="A174" s="2"/>
      <c r="B174" s="21"/>
      <c r="C174" s="14"/>
      <c r="D174" s="14"/>
      <c r="E174" s="14"/>
      <c r="F174" s="11"/>
      <c r="G174" s="11"/>
      <c r="H174" s="11"/>
      <c r="I174" s="11"/>
      <c r="J174" s="12"/>
      <c r="K174" s="13"/>
      <c r="L174" s="14"/>
      <c r="M174" s="14"/>
      <c r="N174" s="238">
        <v>15</v>
      </c>
      <c r="O174" s="238"/>
      <c r="P174" s="15" t="s">
        <v>1</v>
      </c>
      <c r="Q174" s="14"/>
      <c r="R174" s="14"/>
      <c r="S174" s="16"/>
      <c r="T174" s="17"/>
      <c r="U174" s="11"/>
      <c r="V174" s="12"/>
      <c r="W174" s="13"/>
      <c r="X174" s="14"/>
      <c r="Y174" s="14"/>
      <c r="Z174" s="238">
        <v>10</v>
      </c>
      <c r="AA174" s="238"/>
      <c r="AB174" s="15" t="s">
        <v>1</v>
      </c>
      <c r="AC174" s="14"/>
      <c r="AD174" s="14"/>
      <c r="AE174" s="16"/>
      <c r="AF174" s="17"/>
      <c r="AG174" s="11"/>
      <c r="AH174" s="11"/>
      <c r="AI174" s="11"/>
      <c r="AJ174" s="11"/>
      <c r="AK174" s="11"/>
      <c r="AL174" s="14"/>
      <c r="AM174" s="14"/>
      <c r="AN174" s="14"/>
      <c r="AO174" s="22"/>
      <c r="AP174" s="6"/>
      <c r="AQ174" s="7"/>
      <c r="AR174" s="7"/>
    </row>
    <row r="175" spans="1:44" x14ac:dyDescent="0.25">
      <c r="A175" s="2"/>
      <c r="B175" s="21"/>
      <c r="C175" s="14"/>
      <c r="D175" s="14"/>
      <c r="E175" s="14"/>
      <c r="F175" s="13"/>
      <c r="G175" s="14"/>
      <c r="H175" s="14"/>
      <c r="I175" s="14"/>
      <c r="J175" s="14"/>
      <c r="K175" s="13"/>
      <c r="L175" s="14"/>
      <c r="M175" s="14"/>
      <c r="N175" s="14"/>
      <c r="O175" s="14"/>
      <c r="P175" s="14"/>
      <c r="Q175" s="14"/>
      <c r="R175" s="14"/>
      <c r="S175" s="16"/>
      <c r="T175" s="14"/>
      <c r="U175" s="14"/>
      <c r="V175" s="14"/>
      <c r="W175" s="13"/>
      <c r="X175" s="14"/>
      <c r="Y175" s="14"/>
      <c r="Z175" s="14"/>
      <c r="AA175" s="14"/>
      <c r="AB175" s="14"/>
      <c r="AC175" s="14"/>
      <c r="AD175" s="14"/>
      <c r="AE175" s="16"/>
      <c r="AF175" s="14"/>
      <c r="AG175" s="14"/>
      <c r="AH175" s="14"/>
      <c r="AI175" s="14"/>
      <c r="AJ175" s="14"/>
      <c r="AK175" s="14"/>
      <c r="AL175" s="13"/>
      <c r="AM175" s="14"/>
      <c r="AN175" s="14"/>
      <c r="AO175" s="22"/>
      <c r="AP175" s="6"/>
      <c r="AQ175" s="7"/>
      <c r="AR175" s="7"/>
    </row>
    <row r="176" spans="1:44" x14ac:dyDescent="0.25">
      <c r="A176" s="2"/>
      <c r="B176" s="21"/>
      <c r="C176" s="14"/>
      <c r="D176" s="14"/>
      <c r="E176" s="14"/>
      <c r="F176" s="13"/>
      <c r="G176" s="14"/>
      <c r="H176" s="14"/>
      <c r="I176" s="14"/>
      <c r="J176" s="14"/>
      <c r="K176" s="17"/>
      <c r="L176" s="11"/>
      <c r="M176" s="11"/>
      <c r="N176" s="11"/>
      <c r="O176" s="11"/>
      <c r="P176" s="11"/>
      <c r="Q176" s="11"/>
      <c r="R176" s="11"/>
      <c r="S176" s="12"/>
      <c r="T176" s="14"/>
      <c r="U176" s="14"/>
      <c r="V176" s="14"/>
      <c r="W176" s="17"/>
      <c r="X176" s="11"/>
      <c r="Y176" s="11"/>
      <c r="Z176" s="11"/>
      <c r="AA176" s="11"/>
      <c r="AB176" s="11"/>
      <c r="AC176" s="11"/>
      <c r="AD176" s="11"/>
      <c r="AE176" s="12"/>
      <c r="AF176" s="14"/>
      <c r="AG176" s="14"/>
      <c r="AH176" s="14"/>
      <c r="AI176" s="14"/>
      <c r="AJ176" s="14"/>
      <c r="AK176" s="14"/>
      <c r="AL176" s="13"/>
      <c r="AM176" s="14"/>
      <c r="AN176" s="14"/>
      <c r="AO176" s="22"/>
      <c r="AP176" s="6"/>
      <c r="AQ176" s="7"/>
      <c r="AR176" s="7"/>
    </row>
    <row r="177" spans="1:44" x14ac:dyDescent="0.25">
      <c r="A177" s="2"/>
      <c r="B177" s="21"/>
      <c r="C177" s="14"/>
      <c r="D177" s="14"/>
      <c r="E177" s="14"/>
      <c r="F177" s="13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3"/>
      <c r="AM177" s="14"/>
      <c r="AN177" s="14"/>
      <c r="AO177" s="22"/>
      <c r="AP177" s="6"/>
      <c r="AQ177" s="7"/>
      <c r="AR177" s="7"/>
    </row>
    <row r="178" spans="1:44" x14ac:dyDescent="0.25">
      <c r="A178" s="2"/>
      <c r="B178" s="21"/>
      <c r="C178" s="14"/>
      <c r="D178" s="14"/>
      <c r="E178" s="14"/>
      <c r="F178" s="13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3"/>
      <c r="AM178" s="14"/>
      <c r="AN178" s="14"/>
      <c r="AO178" s="22"/>
      <c r="AP178" s="6"/>
      <c r="AQ178" s="7"/>
      <c r="AR178" s="7"/>
    </row>
    <row r="179" spans="1:44" x14ac:dyDescent="0.25">
      <c r="A179" s="7"/>
      <c r="B179" s="21"/>
      <c r="C179" s="14"/>
      <c r="D179" s="14"/>
      <c r="E179" s="14"/>
      <c r="F179" s="13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3"/>
      <c r="AM179" s="14"/>
      <c r="AN179" s="14"/>
      <c r="AO179" s="22"/>
      <c r="AP179" s="6"/>
      <c r="AQ179" s="7"/>
      <c r="AR179" s="7"/>
    </row>
    <row r="180" spans="1:44" x14ac:dyDescent="0.25">
      <c r="A180" s="7"/>
      <c r="B180" s="21"/>
      <c r="C180" s="14"/>
      <c r="D180" s="14"/>
      <c r="E180" s="14"/>
      <c r="F180" s="13"/>
      <c r="G180" s="240"/>
      <c r="H180" s="240"/>
      <c r="I180" s="23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3"/>
      <c r="AM180" s="14"/>
      <c r="AN180" s="14"/>
      <c r="AO180" s="22"/>
      <c r="AP180" s="6"/>
      <c r="AQ180" s="7"/>
      <c r="AR180" s="7"/>
    </row>
    <row r="181" spans="1:44" x14ac:dyDescent="0.25">
      <c r="A181" s="7"/>
      <c r="B181" s="21"/>
      <c r="C181" s="14"/>
      <c r="D181" s="14"/>
      <c r="E181" s="14"/>
      <c r="F181" s="13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3"/>
      <c r="AM181" s="14"/>
      <c r="AN181" s="14"/>
      <c r="AO181" s="22"/>
      <c r="AP181" s="6"/>
      <c r="AQ181" s="7"/>
      <c r="AR181" s="7"/>
    </row>
    <row r="182" spans="1:44" x14ac:dyDescent="0.25">
      <c r="A182" s="7"/>
      <c r="B182" s="21"/>
      <c r="C182" s="14"/>
      <c r="D182" s="14"/>
      <c r="E182" s="14"/>
      <c r="F182" s="13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3"/>
      <c r="AM182" s="14"/>
      <c r="AN182" s="14"/>
      <c r="AO182" s="22"/>
      <c r="AP182" s="6"/>
      <c r="AQ182" s="7"/>
      <c r="AR182" s="7"/>
    </row>
    <row r="183" spans="1:44" ht="15.6" x14ac:dyDescent="0.3">
      <c r="A183" s="7"/>
      <c r="B183" s="21"/>
      <c r="C183" s="14"/>
      <c r="D183" s="14"/>
      <c r="E183" s="14"/>
      <c r="F183" s="17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4"/>
      <c r="S183" s="14"/>
      <c r="T183" s="239">
        <f>N174+Z174</f>
        <v>25</v>
      </c>
      <c r="U183" s="239"/>
      <c r="V183" s="210" t="s">
        <v>1</v>
      </c>
      <c r="W183" s="14"/>
      <c r="X183" s="14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2"/>
      <c r="AL183" s="13"/>
      <c r="AM183" s="14"/>
      <c r="AN183" s="14"/>
      <c r="AO183" s="22"/>
      <c r="AP183" s="6"/>
      <c r="AQ183" s="7"/>
      <c r="AR183" s="7"/>
    </row>
    <row r="184" spans="1:44" x14ac:dyDescent="0.25">
      <c r="A184" s="7"/>
      <c r="B184" s="21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22"/>
      <c r="AP184" s="6"/>
      <c r="AQ184" s="7"/>
      <c r="AR184" s="7"/>
    </row>
    <row r="185" spans="1:44" x14ac:dyDescent="0.25">
      <c r="A185" s="7"/>
      <c r="B185" s="21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22"/>
      <c r="AP185" s="6"/>
      <c r="AQ185" s="7"/>
      <c r="AR185" s="7"/>
    </row>
    <row r="186" spans="1:44" x14ac:dyDescent="0.25">
      <c r="A186" s="7"/>
      <c r="B186" s="21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22"/>
      <c r="AP186" s="6"/>
      <c r="AQ186" s="7"/>
      <c r="AR186" s="7"/>
    </row>
    <row r="187" spans="1:44" x14ac:dyDescent="0.25">
      <c r="A187" s="7"/>
      <c r="B187" s="21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22"/>
      <c r="AP187" s="6"/>
      <c r="AQ187" s="7"/>
      <c r="AR187" s="7"/>
    </row>
    <row r="188" spans="1:44" x14ac:dyDescent="0.25">
      <c r="A188" s="2"/>
      <c r="B188" s="21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22"/>
      <c r="AP188" s="6"/>
      <c r="AQ188" s="7"/>
      <c r="AR188" s="7"/>
    </row>
    <row r="189" spans="1:44" ht="15.6" thickBot="1" x14ac:dyDescent="0.3">
      <c r="A189" s="2"/>
      <c r="B189" s="24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6"/>
      <c r="AP189" s="6"/>
      <c r="AQ189" s="7"/>
      <c r="AR189" s="7"/>
    </row>
    <row r="190" spans="1:44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spans="1:44" ht="15.6" thickBo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spans="1:44" x14ac:dyDescent="0.25">
      <c r="A192" s="2"/>
      <c r="B192" s="18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20"/>
      <c r="AD192" s="2"/>
    </row>
    <row r="193" spans="1:30" x14ac:dyDescent="0.25">
      <c r="A193" s="2"/>
      <c r="B193" s="21"/>
      <c r="C193" s="14"/>
      <c r="D193" s="14"/>
      <c r="E193" s="14"/>
      <c r="F193" s="14"/>
      <c r="G193" s="14"/>
      <c r="H193" s="14"/>
      <c r="I193" s="14"/>
      <c r="J193" s="14"/>
      <c r="K193" s="8"/>
      <c r="L193" s="9"/>
      <c r="M193" s="9"/>
      <c r="N193" s="9"/>
      <c r="O193" s="9"/>
      <c r="P193" s="9"/>
      <c r="Q193" s="9"/>
      <c r="R193" s="9"/>
      <c r="S193" s="10"/>
      <c r="T193" s="14"/>
      <c r="U193" s="14"/>
      <c r="V193" s="14"/>
      <c r="W193" s="14"/>
      <c r="X193" s="14"/>
      <c r="Y193" s="14"/>
      <c r="Z193" s="14"/>
      <c r="AA193" s="14"/>
      <c r="AB193" s="14"/>
      <c r="AC193" s="22"/>
      <c r="AD193" s="2"/>
    </row>
    <row r="194" spans="1:30" ht="15.6" x14ac:dyDescent="0.3">
      <c r="A194" s="2"/>
      <c r="B194" s="21"/>
      <c r="C194" s="14"/>
      <c r="D194" s="14"/>
      <c r="E194" s="14"/>
      <c r="F194" s="11"/>
      <c r="G194" s="11"/>
      <c r="H194" s="11"/>
      <c r="I194" s="11"/>
      <c r="J194" s="12"/>
      <c r="K194" s="13"/>
      <c r="L194" s="14"/>
      <c r="M194" s="14"/>
      <c r="N194" s="238">
        <v>6</v>
      </c>
      <c r="O194" s="238"/>
      <c r="P194" s="15" t="s">
        <v>1</v>
      </c>
      <c r="Q194" s="14"/>
      <c r="R194" s="14"/>
      <c r="S194" s="16"/>
      <c r="T194" s="17"/>
      <c r="U194" s="11"/>
      <c r="V194" s="11"/>
      <c r="W194" s="11"/>
      <c r="X194" s="11"/>
      <c r="Y194" s="11"/>
      <c r="Z194" s="14"/>
      <c r="AA194" s="14"/>
      <c r="AB194" s="14"/>
      <c r="AC194" s="22"/>
      <c r="AD194" s="2"/>
    </row>
    <row r="195" spans="1:30" x14ac:dyDescent="0.25">
      <c r="A195" s="2"/>
      <c r="B195" s="21"/>
      <c r="C195" s="14"/>
      <c r="D195" s="14"/>
      <c r="E195" s="14"/>
      <c r="F195" s="13"/>
      <c r="G195" s="14"/>
      <c r="H195" s="14"/>
      <c r="I195" s="10"/>
      <c r="J195" s="14"/>
      <c r="K195" s="13"/>
      <c r="L195" s="14"/>
      <c r="M195" s="14"/>
      <c r="N195" s="14"/>
      <c r="O195" s="14"/>
      <c r="P195" s="14"/>
      <c r="Q195" s="14"/>
      <c r="R195" s="14"/>
      <c r="S195" s="16"/>
      <c r="T195" s="14"/>
      <c r="U195" s="8"/>
      <c r="V195" s="14"/>
      <c r="W195" s="14"/>
      <c r="X195" s="14"/>
      <c r="Y195" s="14"/>
      <c r="Z195" s="13"/>
      <c r="AA195" s="14"/>
      <c r="AB195" s="14"/>
      <c r="AC195" s="22"/>
      <c r="AD195" s="2"/>
    </row>
    <row r="196" spans="1:30" x14ac:dyDescent="0.25">
      <c r="A196" s="2"/>
      <c r="B196" s="21"/>
      <c r="C196" s="14"/>
      <c r="D196" s="14"/>
      <c r="E196" s="14"/>
      <c r="F196" s="13"/>
      <c r="G196" s="14"/>
      <c r="H196" s="14"/>
      <c r="I196" s="16"/>
      <c r="J196" s="14"/>
      <c r="K196" s="17"/>
      <c r="L196" s="11"/>
      <c r="M196" s="11"/>
      <c r="N196" s="11"/>
      <c r="O196" s="11"/>
      <c r="P196" s="11"/>
      <c r="Q196" s="11"/>
      <c r="R196" s="11"/>
      <c r="S196" s="12"/>
      <c r="T196" s="14"/>
      <c r="U196" s="13"/>
      <c r="V196" s="14"/>
      <c r="W196" s="14"/>
      <c r="X196" s="14"/>
      <c r="Y196" s="14"/>
      <c r="Z196" s="13"/>
      <c r="AA196" s="14"/>
      <c r="AB196" s="14"/>
      <c r="AC196" s="22"/>
      <c r="AD196" s="2"/>
    </row>
    <row r="197" spans="1:30" x14ac:dyDescent="0.25">
      <c r="A197" s="2"/>
      <c r="B197" s="21"/>
      <c r="C197" s="14"/>
      <c r="D197" s="14"/>
      <c r="E197" s="14"/>
      <c r="F197" s="13"/>
      <c r="G197" s="14"/>
      <c r="H197" s="14"/>
      <c r="I197" s="16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3"/>
      <c r="V197" s="14"/>
      <c r="W197" s="14"/>
      <c r="X197" s="14"/>
      <c r="Y197" s="14"/>
      <c r="Z197" s="13"/>
      <c r="AA197" s="14"/>
      <c r="AB197" s="14"/>
      <c r="AC197" s="22"/>
      <c r="AD197" s="2"/>
    </row>
    <row r="198" spans="1:30" x14ac:dyDescent="0.25">
      <c r="A198" s="2"/>
      <c r="B198" s="21"/>
      <c r="C198" s="14"/>
      <c r="D198" s="14"/>
      <c r="E198" s="14"/>
      <c r="F198" s="13"/>
      <c r="G198" s="14"/>
      <c r="H198" s="14"/>
      <c r="I198" s="16"/>
      <c r="J198" s="14"/>
      <c r="K198" s="8"/>
      <c r="L198" s="9"/>
      <c r="M198" s="9"/>
      <c r="N198" s="9"/>
      <c r="O198" s="9"/>
      <c r="P198" s="9"/>
      <c r="Q198" s="9"/>
      <c r="R198" s="9"/>
      <c r="S198" s="10"/>
      <c r="T198" s="14"/>
      <c r="U198" s="13"/>
      <c r="V198" s="14"/>
      <c r="W198" s="14"/>
      <c r="X198" s="14"/>
      <c r="Y198" s="14"/>
      <c r="Z198" s="13"/>
      <c r="AA198" s="14"/>
      <c r="AB198" s="14"/>
      <c r="AC198" s="22"/>
      <c r="AD198" s="2"/>
    </row>
    <row r="199" spans="1:30" ht="15.6" x14ac:dyDescent="0.3">
      <c r="A199" s="2"/>
      <c r="B199" s="21"/>
      <c r="C199" s="14"/>
      <c r="D199" s="14"/>
      <c r="E199" s="14"/>
      <c r="F199" s="13"/>
      <c r="G199" s="14"/>
      <c r="H199" s="14"/>
      <c r="I199" s="16"/>
      <c r="J199" s="12"/>
      <c r="K199" s="13"/>
      <c r="L199" s="14"/>
      <c r="M199" s="14"/>
      <c r="N199" s="238">
        <v>6</v>
      </c>
      <c r="O199" s="238"/>
      <c r="P199" s="15" t="s">
        <v>1</v>
      </c>
      <c r="Q199" s="14"/>
      <c r="R199" s="14"/>
      <c r="S199" s="16"/>
      <c r="T199" s="17"/>
      <c r="U199" s="13"/>
      <c r="V199" s="14"/>
      <c r="W199" s="14"/>
      <c r="X199" s="14"/>
      <c r="Y199" s="14"/>
      <c r="Z199" s="13"/>
      <c r="AA199" s="14"/>
      <c r="AB199" s="14"/>
      <c r="AC199" s="22"/>
      <c r="AD199" s="2"/>
    </row>
    <row r="200" spans="1:30" x14ac:dyDescent="0.25">
      <c r="A200" s="2"/>
      <c r="B200" s="21"/>
      <c r="C200" s="14"/>
      <c r="D200" s="14"/>
      <c r="E200" s="14"/>
      <c r="F200" s="13"/>
      <c r="G200" s="14"/>
      <c r="H200" s="14"/>
      <c r="I200" s="16"/>
      <c r="J200" s="14"/>
      <c r="K200" s="13"/>
      <c r="L200" s="14"/>
      <c r="M200" s="14"/>
      <c r="N200" s="14"/>
      <c r="O200" s="14"/>
      <c r="P200" s="14"/>
      <c r="Q200" s="14"/>
      <c r="R200" s="14"/>
      <c r="S200" s="16"/>
      <c r="T200" s="14"/>
      <c r="U200" s="13"/>
      <c r="V200" s="14"/>
      <c r="W200" s="14"/>
      <c r="X200" s="14"/>
      <c r="Y200" s="14"/>
      <c r="Z200" s="13"/>
      <c r="AA200" s="14"/>
      <c r="AB200" s="14"/>
      <c r="AC200" s="22"/>
      <c r="AD200" s="2"/>
    </row>
    <row r="201" spans="1:30" x14ac:dyDescent="0.25">
      <c r="A201" s="2"/>
      <c r="B201" s="21"/>
      <c r="C201" s="14"/>
      <c r="D201" s="14"/>
      <c r="E201" s="14"/>
      <c r="F201" s="13"/>
      <c r="G201" s="14"/>
      <c r="H201" s="14"/>
      <c r="I201" s="16"/>
      <c r="J201" s="14"/>
      <c r="K201" s="17"/>
      <c r="L201" s="11"/>
      <c r="M201" s="11"/>
      <c r="N201" s="11"/>
      <c r="O201" s="11"/>
      <c r="P201" s="11"/>
      <c r="Q201" s="11"/>
      <c r="R201" s="11"/>
      <c r="S201" s="12"/>
      <c r="T201" s="14"/>
      <c r="U201" s="13"/>
      <c r="V201" s="14"/>
      <c r="W201" s="14"/>
      <c r="X201" s="14"/>
      <c r="Y201" s="14"/>
      <c r="Z201" s="13"/>
      <c r="AA201" s="14"/>
      <c r="AB201" s="14"/>
      <c r="AC201" s="22"/>
      <c r="AD201" s="2"/>
    </row>
    <row r="202" spans="1:30" x14ac:dyDescent="0.25">
      <c r="A202" s="2"/>
      <c r="B202" s="21"/>
      <c r="C202" s="14"/>
      <c r="D202" s="14"/>
      <c r="E202" s="14"/>
      <c r="F202" s="13"/>
      <c r="G202" s="14"/>
      <c r="H202" s="14"/>
      <c r="I202" s="16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3"/>
      <c r="V202" s="14"/>
      <c r="W202" s="14"/>
      <c r="X202" s="14"/>
      <c r="Y202" s="14"/>
      <c r="Z202" s="13"/>
      <c r="AA202" s="14"/>
      <c r="AB202" s="14"/>
      <c r="AC202" s="22"/>
      <c r="AD202" s="2"/>
    </row>
    <row r="203" spans="1:30" x14ac:dyDescent="0.25">
      <c r="A203" s="2"/>
      <c r="B203" s="21"/>
      <c r="C203" s="14"/>
      <c r="D203" s="14"/>
      <c r="E203" s="14"/>
      <c r="F203" s="13"/>
      <c r="G203" s="14"/>
      <c r="H203" s="14"/>
      <c r="I203" s="16"/>
      <c r="J203" s="14"/>
      <c r="K203" s="8"/>
      <c r="L203" s="9"/>
      <c r="M203" s="9"/>
      <c r="N203" s="9"/>
      <c r="O203" s="9"/>
      <c r="P203" s="9"/>
      <c r="Q203" s="9"/>
      <c r="R203" s="9"/>
      <c r="S203" s="10"/>
      <c r="T203" s="14"/>
      <c r="U203" s="13"/>
      <c r="V203" s="14"/>
      <c r="W203" s="14"/>
      <c r="X203" s="14"/>
      <c r="Y203" s="14"/>
      <c r="Z203" s="13"/>
      <c r="AA203" s="14"/>
      <c r="AB203" s="14"/>
      <c r="AC203" s="22"/>
      <c r="AD203" s="2"/>
    </row>
    <row r="204" spans="1:30" ht="15.6" x14ac:dyDescent="0.3">
      <c r="A204" s="2"/>
      <c r="B204" s="21"/>
      <c r="C204" s="14"/>
      <c r="D204" s="14"/>
      <c r="E204" s="14"/>
      <c r="F204" s="13"/>
      <c r="G204" s="14"/>
      <c r="H204" s="14"/>
      <c r="I204" s="16"/>
      <c r="J204" s="12"/>
      <c r="K204" s="13"/>
      <c r="L204" s="14"/>
      <c r="M204" s="14"/>
      <c r="N204" s="238">
        <v>6</v>
      </c>
      <c r="O204" s="238"/>
      <c r="P204" s="15" t="s">
        <v>1</v>
      </c>
      <c r="Q204" s="14"/>
      <c r="R204" s="14"/>
      <c r="S204" s="16"/>
      <c r="T204" s="17"/>
      <c r="U204" s="13"/>
      <c r="V204" s="14"/>
      <c r="W204" s="14"/>
      <c r="X204" s="14"/>
      <c r="Y204" s="14"/>
      <c r="Z204" s="13"/>
      <c r="AA204" s="14"/>
      <c r="AB204" s="14"/>
      <c r="AC204" s="22"/>
      <c r="AD204" s="2"/>
    </row>
    <row r="205" spans="1:30" x14ac:dyDescent="0.25">
      <c r="A205" s="2"/>
      <c r="B205" s="21"/>
      <c r="C205" s="14"/>
      <c r="D205" s="14"/>
      <c r="E205" s="14"/>
      <c r="F205" s="13"/>
      <c r="G205" s="14"/>
      <c r="H205" s="14"/>
      <c r="I205" s="14"/>
      <c r="J205" s="14"/>
      <c r="K205" s="13"/>
      <c r="L205" s="14"/>
      <c r="M205" s="14"/>
      <c r="N205" s="14"/>
      <c r="O205" s="14"/>
      <c r="P205" s="14"/>
      <c r="Q205" s="14"/>
      <c r="R205" s="14"/>
      <c r="S205" s="16"/>
      <c r="T205" s="14"/>
      <c r="U205" s="14"/>
      <c r="V205" s="14"/>
      <c r="W205" s="14"/>
      <c r="X205" s="14"/>
      <c r="Y205" s="14"/>
      <c r="Z205" s="13"/>
      <c r="AA205" s="14"/>
      <c r="AB205" s="14"/>
      <c r="AC205" s="22"/>
      <c r="AD205" s="2"/>
    </row>
    <row r="206" spans="1:30" x14ac:dyDescent="0.25">
      <c r="A206" s="2"/>
      <c r="B206" s="21"/>
      <c r="C206" s="14"/>
      <c r="D206" s="14"/>
      <c r="E206" s="14"/>
      <c r="F206" s="13"/>
      <c r="G206" s="14"/>
      <c r="H206" s="14"/>
      <c r="I206" s="14"/>
      <c r="J206" s="14"/>
      <c r="K206" s="17"/>
      <c r="L206" s="11"/>
      <c r="M206" s="11"/>
      <c r="N206" s="11"/>
      <c r="O206" s="11"/>
      <c r="P206" s="11"/>
      <c r="Q206" s="11"/>
      <c r="R206" s="11"/>
      <c r="S206" s="12"/>
      <c r="T206" s="14"/>
      <c r="U206" s="14"/>
      <c r="V206" s="14"/>
      <c r="W206" s="14"/>
      <c r="X206" s="14"/>
      <c r="Y206" s="14"/>
      <c r="Z206" s="13"/>
      <c r="AA206" s="14"/>
      <c r="AB206" s="14"/>
      <c r="AC206" s="22"/>
      <c r="AD206" s="2"/>
    </row>
    <row r="207" spans="1:30" x14ac:dyDescent="0.25">
      <c r="A207" s="2"/>
      <c r="B207" s="21"/>
      <c r="C207" s="14"/>
      <c r="D207" s="14"/>
      <c r="E207" s="14"/>
      <c r="F207" s="13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3"/>
      <c r="AA207" s="14"/>
      <c r="AB207" s="14"/>
      <c r="AC207" s="22"/>
      <c r="AD207" s="2"/>
    </row>
    <row r="208" spans="1:30" x14ac:dyDescent="0.25">
      <c r="A208" s="2"/>
      <c r="B208" s="21"/>
      <c r="C208" s="14"/>
      <c r="D208" s="14"/>
      <c r="E208" s="14"/>
      <c r="F208" s="13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3"/>
      <c r="AA208" s="14"/>
      <c r="AB208" s="14"/>
      <c r="AC208" s="22"/>
      <c r="AD208" s="2"/>
    </row>
    <row r="209" spans="1:32" x14ac:dyDescent="0.25">
      <c r="A209" s="2"/>
      <c r="B209" s="21"/>
      <c r="C209" s="14"/>
      <c r="D209" s="14"/>
      <c r="E209" s="14"/>
      <c r="F209" s="13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3"/>
      <c r="AA209" s="14"/>
      <c r="AB209" s="14"/>
      <c r="AC209" s="22"/>
      <c r="AD209" s="2"/>
    </row>
    <row r="210" spans="1:32" x14ac:dyDescent="0.25">
      <c r="A210" s="2"/>
      <c r="B210" s="21"/>
      <c r="C210" s="14"/>
      <c r="D210" s="14"/>
      <c r="E210" s="14"/>
      <c r="F210" s="13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22"/>
      <c r="AD210" s="2"/>
    </row>
    <row r="211" spans="1:32" x14ac:dyDescent="0.25">
      <c r="A211" s="2"/>
      <c r="B211" s="21"/>
      <c r="C211" s="14"/>
      <c r="D211" s="14"/>
      <c r="E211" s="14"/>
      <c r="F211" s="13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22"/>
      <c r="AD211" s="2"/>
    </row>
    <row r="212" spans="1:32" x14ac:dyDescent="0.25">
      <c r="A212" s="2"/>
      <c r="B212" s="21"/>
      <c r="C212" s="14"/>
      <c r="D212" s="14"/>
      <c r="E212" s="14"/>
      <c r="F212" s="13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22"/>
      <c r="AD212" s="2"/>
    </row>
    <row r="213" spans="1:32" x14ac:dyDescent="0.25">
      <c r="A213" s="2"/>
      <c r="B213" s="21"/>
      <c r="C213" s="14"/>
      <c r="D213" s="14"/>
      <c r="E213" s="14"/>
      <c r="F213" s="13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22"/>
      <c r="AD213" s="2"/>
    </row>
    <row r="214" spans="1:32" ht="15.6" x14ac:dyDescent="0.3">
      <c r="A214" s="2"/>
      <c r="B214" s="21"/>
      <c r="C214" s="14"/>
      <c r="D214" s="14"/>
      <c r="E214" s="14"/>
      <c r="F214" s="13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239">
        <f>1/(1/N194+1/N199+1/N204)</f>
        <v>2</v>
      </c>
      <c r="Z214" s="239"/>
      <c r="AA214" s="15" t="s">
        <v>1</v>
      </c>
      <c r="AB214" s="14"/>
      <c r="AC214" s="22"/>
      <c r="AD214" s="2"/>
      <c r="AF214" s="1">
        <f>10/3.33</f>
        <v>3.0030030030030028</v>
      </c>
    </row>
    <row r="215" spans="1:32" x14ac:dyDescent="0.25">
      <c r="A215" s="2"/>
      <c r="B215" s="21"/>
      <c r="C215" s="14"/>
      <c r="D215" s="14"/>
      <c r="E215" s="14"/>
      <c r="F215" s="13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22"/>
      <c r="AD215" s="2"/>
    </row>
    <row r="216" spans="1:32" x14ac:dyDescent="0.25">
      <c r="A216" s="2"/>
      <c r="B216" s="21"/>
      <c r="C216" s="14"/>
      <c r="D216" s="14"/>
      <c r="E216" s="14"/>
      <c r="F216" s="13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22"/>
      <c r="AD216" s="2"/>
    </row>
    <row r="217" spans="1:32" x14ac:dyDescent="0.25">
      <c r="A217" s="2"/>
      <c r="B217" s="21"/>
      <c r="C217" s="14"/>
      <c r="D217" s="14"/>
      <c r="E217" s="14"/>
      <c r="F217" s="13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22"/>
      <c r="AD217" s="2"/>
    </row>
    <row r="218" spans="1:32" x14ac:dyDescent="0.25">
      <c r="A218" s="2"/>
      <c r="B218" s="21"/>
      <c r="C218" s="14"/>
      <c r="D218" s="14"/>
      <c r="E218" s="14"/>
      <c r="F218" s="13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22"/>
      <c r="AD218" s="2"/>
    </row>
    <row r="219" spans="1:32" x14ac:dyDescent="0.25">
      <c r="A219" s="2"/>
      <c r="B219" s="21"/>
      <c r="C219" s="14"/>
      <c r="D219" s="14"/>
      <c r="E219" s="14"/>
      <c r="F219" s="13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3"/>
      <c r="AA219" s="14"/>
      <c r="AB219" s="14"/>
      <c r="AC219" s="22"/>
      <c r="AD219" s="2"/>
    </row>
    <row r="220" spans="1:32" x14ac:dyDescent="0.25">
      <c r="A220" s="2"/>
      <c r="B220" s="21"/>
      <c r="C220" s="14"/>
      <c r="D220" s="14"/>
      <c r="E220" s="14"/>
      <c r="F220" s="17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3"/>
      <c r="AA220" s="14"/>
      <c r="AB220" s="14"/>
      <c r="AC220" s="22"/>
      <c r="AD220" s="2"/>
    </row>
    <row r="221" spans="1:32" ht="15.6" thickBot="1" x14ac:dyDescent="0.3">
      <c r="A221" s="2"/>
      <c r="B221" s="24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6"/>
      <c r="AD221" s="2"/>
    </row>
    <row r="222" spans="1:32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</row>
    <row r="223" spans="1:32" ht="15.6" thickBot="1" x14ac:dyDescent="0.3">
      <c r="T223" s="57"/>
    </row>
    <row r="224" spans="1:32" x14ac:dyDescent="0.25">
      <c r="B224" s="18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84"/>
      <c r="U224" s="19"/>
      <c r="V224" s="19"/>
      <c r="W224" s="20"/>
    </row>
    <row r="225" spans="2:23" x14ac:dyDescent="0.25">
      <c r="B225" s="21"/>
      <c r="C225" s="14"/>
      <c r="D225" s="14" t="s">
        <v>156</v>
      </c>
      <c r="E225" s="14"/>
      <c r="F225" s="14"/>
      <c r="G225" s="14"/>
      <c r="H225" s="14"/>
      <c r="I225" s="14"/>
      <c r="J225" s="221">
        <v>5</v>
      </c>
      <c r="K225" s="86" t="s">
        <v>0</v>
      </c>
      <c r="L225" s="14"/>
      <c r="M225" s="64" t="s">
        <v>157</v>
      </c>
      <c r="N225" s="14"/>
      <c r="O225" s="14"/>
      <c r="P225" s="14"/>
      <c r="Q225" s="14"/>
      <c r="R225" s="14"/>
      <c r="S225" s="14"/>
      <c r="T225" s="218" t="s">
        <v>64</v>
      </c>
      <c r="U225" s="222">
        <f>J225/(J227+J229)*J227</f>
        <v>3</v>
      </c>
      <c r="V225" s="27" t="s">
        <v>0</v>
      </c>
      <c r="W225" s="22"/>
    </row>
    <row r="226" spans="2:23" x14ac:dyDescent="0.25">
      <c r="B226" s="21"/>
      <c r="C226" s="14"/>
      <c r="D226" s="14"/>
      <c r="E226" s="14"/>
      <c r="F226" s="14"/>
      <c r="G226" s="14"/>
      <c r="H226" s="14"/>
      <c r="I226" s="14"/>
      <c r="J226" s="2"/>
      <c r="K226" s="86"/>
      <c r="L226" s="14"/>
      <c r="M226" s="64"/>
      <c r="N226" s="14"/>
      <c r="O226" s="14"/>
      <c r="P226" s="14"/>
      <c r="Q226" s="14"/>
      <c r="R226" s="14"/>
      <c r="S226" s="14"/>
      <c r="T226" s="218"/>
      <c r="U226" s="2"/>
      <c r="V226" s="86"/>
      <c r="W226" s="22"/>
    </row>
    <row r="227" spans="2:23" ht="15.6" x14ac:dyDescent="0.3">
      <c r="B227" s="21"/>
      <c r="C227" s="14"/>
      <c r="D227" s="14" t="s">
        <v>158</v>
      </c>
      <c r="E227" s="14"/>
      <c r="F227" s="14"/>
      <c r="G227" s="14"/>
      <c r="H227" s="14"/>
      <c r="I227" s="14"/>
      <c r="J227" s="219">
        <v>3</v>
      </c>
      <c r="K227" s="220" t="s">
        <v>1</v>
      </c>
      <c r="L227" s="14"/>
      <c r="M227" s="64" t="s">
        <v>159</v>
      </c>
      <c r="N227" s="14"/>
      <c r="O227" s="14"/>
      <c r="P227" s="14"/>
      <c r="Q227" s="14"/>
      <c r="R227" s="14"/>
      <c r="S227" s="14"/>
      <c r="T227" s="218" t="s">
        <v>64</v>
      </c>
      <c r="U227" s="222">
        <f>J225/(J227+J229)*J229</f>
        <v>2</v>
      </c>
      <c r="V227" s="27" t="s">
        <v>0</v>
      </c>
      <c r="W227" s="22"/>
    </row>
    <row r="228" spans="2:23" x14ac:dyDescent="0.25">
      <c r="B228" s="21"/>
      <c r="C228" s="14"/>
      <c r="D228" s="14"/>
      <c r="E228" s="14"/>
      <c r="F228" s="14"/>
      <c r="G228" s="14"/>
      <c r="H228" s="14"/>
      <c r="I228" s="14"/>
      <c r="J228" s="2"/>
      <c r="K228" s="86"/>
      <c r="L228" s="14"/>
      <c r="M228" s="64"/>
      <c r="N228" s="14"/>
      <c r="O228" s="14"/>
      <c r="P228" s="14"/>
      <c r="Q228" s="14"/>
      <c r="R228" s="14"/>
      <c r="S228" s="14"/>
      <c r="T228" s="218"/>
      <c r="U228" s="2"/>
      <c r="V228" s="86"/>
      <c r="W228" s="22"/>
    </row>
    <row r="229" spans="2:23" ht="15.6" x14ac:dyDescent="0.3">
      <c r="B229" s="21"/>
      <c r="C229" s="14"/>
      <c r="D229" s="14" t="s">
        <v>160</v>
      </c>
      <c r="E229" s="14"/>
      <c r="F229" s="14"/>
      <c r="G229" s="14"/>
      <c r="H229" s="14"/>
      <c r="I229" s="14"/>
      <c r="J229" s="219">
        <v>2</v>
      </c>
      <c r="K229" s="220" t="s">
        <v>1</v>
      </c>
      <c r="L229" s="14"/>
      <c r="M229" s="64" t="s">
        <v>161</v>
      </c>
      <c r="N229" s="14"/>
      <c r="O229" s="14"/>
      <c r="P229" s="14"/>
      <c r="Q229" s="14"/>
      <c r="R229" s="14"/>
      <c r="S229" s="14"/>
      <c r="T229" s="218" t="s">
        <v>64</v>
      </c>
      <c r="U229" s="82">
        <f>J225/(J227+J229)</f>
        <v>1</v>
      </c>
      <c r="V229" s="27" t="s">
        <v>2</v>
      </c>
      <c r="W229" s="22"/>
    </row>
    <row r="230" spans="2:23" x14ac:dyDescent="0.25">
      <c r="B230" s="21"/>
      <c r="C230" s="14"/>
      <c r="D230" s="14"/>
      <c r="E230" s="14"/>
      <c r="F230" s="14"/>
      <c r="G230" s="14"/>
      <c r="H230" s="14"/>
      <c r="I230" s="14"/>
      <c r="J230" s="2"/>
      <c r="K230" s="14"/>
      <c r="L230" s="14"/>
      <c r="M230" s="14"/>
      <c r="N230" s="14"/>
      <c r="O230" s="14"/>
      <c r="P230" s="14"/>
      <c r="Q230" s="14"/>
      <c r="R230" s="14"/>
      <c r="S230" s="14"/>
      <c r="T230" s="218"/>
      <c r="U230" s="2"/>
      <c r="V230" s="14"/>
      <c r="W230" s="22"/>
    </row>
    <row r="231" spans="2:23" x14ac:dyDescent="0.25">
      <c r="B231" s="21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218"/>
      <c r="U231" s="14"/>
      <c r="V231" s="14"/>
      <c r="W231" s="22"/>
    </row>
    <row r="232" spans="2:23" x14ac:dyDescent="0.25">
      <c r="B232" s="21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218"/>
      <c r="U232" s="14"/>
      <c r="V232" s="14"/>
      <c r="W232" s="22"/>
    </row>
    <row r="233" spans="2:23" x14ac:dyDescent="0.25">
      <c r="B233" s="21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218"/>
      <c r="U233" s="14"/>
      <c r="V233" s="14"/>
      <c r="W233" s="22"/>
    </row>
    <row r="234" spans="2:23" x14ac:dyDescent="0.25">
      <c r="B234" s="21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218"/>
      <c r="U234" s="14"/>
      <c r="V234" s="14"/>
      <c r="W234" s="22"/>
    </row>
    <row r="235" spans="2:23" x14ac:dyDescent="0.25">
      <c r="B235" s="21"/>
      <c r="C235" s="14"/>
      <c r="D235" s="11"/>
      <c r="E235" s="11"/>
      <c r="F235" s="14"/>
      <c r="G235" s="222">
        <f>U225</f>
        <v>3</v>
      </c>
      <c r="H235" s="223" t="str">
        <f>V227</f>
        <v>V</v>
      </c>
      <c r="I235" s="14"/>
      <c r="J235" s="11"/>
      <c r="K235" s="11"/>
      <c r="L235" s="11"/>
      <c r="M235" s="11"/>
      <c r="N235" s="14"/>
      <c r="O235" s="222">
        <f>U227</f>
        <v>2</v>
      </c>
      <c r="P235" s="223" t="str">
        <f>V225</f>
        <v>V</v>
      </c>
      <c r="Q235" s="14"/>
      <c r="R235" s="11"/>
      <c r="S235" s="11"/>
      <c r="T235" s="125"/>
      <c r="U235" s="14"/>
      <c r="V235" s="14"/>
      <c r="W235" s="22"/>
    </row>
    <row r="236" spans="2:23" x14ac:dyDescent="0.25">
      <c r="B236" s="21"/>
      <c r="C236" s="14"/>
      <c r="D236" s="8"/>
      <c r="E236" s="14"/>
      <c r="F236" s="14"/>
      <c r="G236" s="14"/>
      <c r="H236" s="14"/>
      <c r="I236" s="14"/>
      <c r="J236" s="14"/>
      <c r="K236" s="14"/>
      <c r="L236" s="8"/>
      <c r="M236" s="14"/>
      <c r="N236" s="14"/>
      <c r="O236" s="14"/>
      <c r="P236" s="14"/>
      <c r="Q236" s="14"/>
      <c r="R236" s="14"/>
      <c r="S236" s="14"/>
      <c r="T236" s="218"/>
      <c r="U236" s="13"/>
      <c r="V236" s="14"/>
      <c r="W236" s="22"/>
    </row>
    <row r="237" spans="2:23" x14ac:dyDescent="0.25">
      <c r="B237" s="21"/>
      <c r="C237" s="14"/>
      <c r="D237" s="13"/>
      <c r="E237" s="14"/>
      <c r="F237" s="14"/>
      <c r="G237" s="14"/>
      <c r="H237" s="14"/>
      <c r="I237" s="14"/>
      <c r="J237" s="14"/>
      <c r="K237" s="14"/>
      <c r="L237" s="13"/>
      <c r="M237" s="14"/>
      <c r="N237" s="14"/>
      <c r="O237" s="14"/>
      <c r="P237" s="14"/>
      <c r="Q237" s="14"/>
      <c r="R237" s="14"/>
      <c r="S237" s="14"/>
      <c r="T237" s="218"/>
      <c r="U237" s="13"/>
      <c r="V237" s="14"/>
      <c r="W237" s="22"/>
    </row>
    <row r="238" spans="2:23" x14ac:dyDescent="0.25">
      <c r="B238" s="21"/>
      <c r="C238" s="14"/>
      <c r="D238" s="13"/>
      <c r="E238" s="14"/>
      <c r="F238" s="14"/>
      <c r="G238" s="14"/>
      <c r="H238" s="14"/>
      <c r="I238" s="14"/>
      <c r="J238" s="14"/>
      <c r="K238" s="14"/>
      <c r="L238" s="13"/>
      <c r="M238" s="14"/>
      <c r="N238" s="14"/>
      <c r="O238" s="14"/>
      <c r="P238" s="14"/>
      <c r="Q238" s="14"/>
      <c r="R238" s="14"/>
      <c r="S238" s="14"/>
      <c r="T238" s="218"/>
      <c r="U238" s="13"/>
      <c r="V238" s="14"/>
      <c r="W238" s="22"/>
    </row>
    <row r="239" spans="2:23" x14ac:dyDescent="0.25">
      <c r="B239" s="21"/>
      <c r="C239" s="14"/>
      <c r="D239" s="13"/>
      <c r="E239" s="14"/>
      <c r="F239" s="14"/>
      <c r="G239" s="14"/>
      <c r="H239" s="14"/>
      <c r="I239" s="14"/>
      <c r="J239" s="14"/>
      <c r="K239" s="14"/>
      <c r="L239" s="13"/>
      <c r="M239" s="14"/>
      <c r="N239" s="14"/>
      <c r="O239" s="14"/>
      <c r="P239" s="14"/>
      <c r="Q239" s="14"/>
      <c r="R239" s="14"/>
      <c r="S239" s="14"/>
      <c r="T239" s="218"/>
      <c r="U239" s="13"/>
      <c r="V239" s="14"/>
      <c r="W239" s="22"/>
    </row>
    <row r="240" spans="2:23" x14ac:dyDescent="0.25">
      <c r="B240" s="21"/>
      <c r="C240" s="14"/>
      <c r="D240" s="13"/>
      <c r="E240" s="14"/>
      <c r="F240" s="8"/>
      <c r="G240" s="9"/>
      <c r="H240" s="9"/>
      <c r="I240" s="10"/>
      <c r="J240" s="14"/>
      <c r="K240" s="14"/>
      <c r="L240" s="13"/>
      <c r="M240" s="14"/>
      <c r="N240" s="8"/>
      <c r="O240" s="9"/>
      <c r="P240" s="9"/>
      <c r="Q240" s="10"/>
      <c r="R240" s="14"/>
      <c r="S240" s="14"/>
      <c r="T240" s="218"/>
      <c r="U240" s="13"/>
      <c r="V240" s="14"/>
      <c r="W240" s="22"/>
    </row>
    <row r="241" spans="2:23" x14ac:dyDescent="0.25">
      <c r="B241" s="21"/>
      <c r="C241" s="14"/>
      <c r="D241" s="17"/>
      <c r="E241" s="12"/>
      <c r="F241" s="13"/>
      <c r="G241" s="237">
        <f>J227</f>
        <v>3</v>
      </c>
      <c r="H241" s="236" t="str">
        <f>K227</f>
        <v>Ω</v>
      </c>
      <c r="I241" s="16"/>
      <c r="J241" s="17"/>
      <c r="K241" s="11"/>
      <c r="L241" s="17"/>
      <c r="M241" s="11"/>
      <c r="N241" s="13"/>
      <c r="O241" s="237">
        <f>J229</f>
        <v>2</v>
      </c>
      <c r="P241" s="236" t="str">
        <f>H241</f>
        <v>Ω</v>
      </c>
      <c r="Q241" s="16"/>
      <c r="R241" s="17"/>
      <c r="S241" s="11"/>
      <c r="T241" s="125"/>
      <c r="U241" s="13"/>
      <c r="V241" s="14"/>
      <c r="W241" s="22"/>
    </row>
    <row r="242" spans="2:23" x14ac:dyDescent="0.25">
      <c r="B242" s="21"/>
      <c r="C242" s="14"/>
      <c r="D242" s="8"/>
      <c r="E242" s="14"/>
      <c r="F242" s="13"/>
      <c r="G242" s="237"/>
      <c r="H242" s="236"/>
      <c r="I242" s="16"/>
      <c r="J242" s="14"/>
      <c r="K242" s="14"/>
      <c r="L242" s="14"/>
      <c r="M242" s="14"/>
      <c r="N242" s="13"/>
      <c r="O242" s="237"/>
      <c r="P242" s="236"/>
      <c r="Q242" s="16"/>
      <c r="R242" s="14"/>
      <c r="S242" s="14"/>
      <c r="T242" s="218"/>
      <c r="U242" s="13"/>
      <c r="V242" s="14"/>
      <c r="W242" s="22"/>
    </row>
    <row r="243" spans="2:23" x14ac:dyDescent="0.25">
      <c r="B243" s="21"/>
      <c r="C243" s="14"/>
      <c r="D243" s="13"/>
      <c r="E243" s="14"/>
      <c r="F243" s="17"/>
      <c r="G243" s="11"/>
      <c r="H243" s="11"/>
      <c r="I243" s="12"/>
      <c r="J243" s="14"/>
      <c r="K243" s="14"/>
      <c r="L243" s="14"/>
      <c r="M243" s="14"/>
      <c r="N243" s="17"/>
      <c r="O243" s="11"/>
      <c r="P243" s="11"/>
      <c r="Q243" s="12"/>
      <c r="R243" s="14"/>
      <c r="S243" s="14"/>
      <c r="T243" s="218"/>
      <c r="U243" s="13"/>
      <c r="V243" s="14"/>
      <c r="W243" s="22"/>
    </row>
    <row r="244" spans="2:23" x14ac:dyDescent="0.25">
      <c r="B244" s="21"/>
      <c r="C244" s="14"/>
      <c r="D244" s="13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218"/>
      <c r="U244" s="14"/>
      <c r="V244" s="14"/>
      <c r="W244" s="22"/>
    </row>
    <row r="245" spans="2:23" x14ac:dyDescent="0.25">
      <c r="B245" s="21"/>
      <c r="C245" s="14"/>
      <c r="D245" s="13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218"/>
      <c r="U245" s="14"/>
      <c r="V245" s="14"/>
      <c r="W245" s="22"/>
    </row>
    <row r="246" spans="2:23" x14ac:dyDescent="0.25">
      <c r="B246" s="21"/>
      <c r="C246" s="14"/>
      <c r="D246" s="13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217">
        <f>U229</f>
        <v>1</v>
      </c>
      <c r="U246" s="223" t="str">
        <f>V229</f>
        <v>A</v>
      </c>
      <c r="V246" s="14"/>
      <c r="W246" s="22"/>
    </row>
    <row r="247" spans="2:23" x14ac:dyDescent="0.25">
      <c r="B247" s="21"/>
      <c r="C247" s="14"/>
      <c r="D247" s="13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218"/>
      <c r="U247" s="14"/>
      <c r="V247" s="14"/>
      <c r="W247" s="22"/>
    </row>
    <row r="248" spans="2:23" x14ac:dyDescent="0.25">
      <c r="B248" s="21"/>
      <c r="C248" s="14"/>
      <c r="D248" s="13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218"/>
      <c r="U248" s="14"/>
      <c r="V248" s="14"/>
      <c r="W248" s="22"/>
    </row>
    <row r="249" spans="2:23" x14ac:dyDescent="0.25">
      <c r="B249" s="21"/>
      <c r="C249" s="14"/>
      <c r="D249" s="13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218"/>
      <c r="U249" s="13"/>
      <c r="V249" s="14"/>
      <c r="W249" s="22"/>
    </row>
    <row r="250" spans="2:23" x14ac:dyDescent="0.25">
      <c r="B250" s="21"/>
      <c r="C250" s="14"/>
      <c r="D250" s="17"/>
      <c r="E250" s="11"/>
      <c r="F250" s="11"/>
      <c r="G250" s="11"/>
      <c r="H250" s="11"/>
      <c r="I250" s="14"/>
      <c r="J250" s="14"/>
      <c r="K250" s="230"/>
      <c r="L250" s="231">
        <f>J225</f>
        <v>5</v>
      </c>
      <c r="M250" s="232" t="str">
        <f>K225</f>
        <v>V</v>
      </c>
      <c r="N250" s="14"/>
      <c r="O250" s="14"/>
      <c r="P250" s="11"/>
      <c r="Q250" s="11"/>
      <c r="R250" s="11"/>
      <c r="S250" s="11"/>
      <c r="T250" s="125"/>
      <c r="U250" s="13"/>
      <c r="V250" s="14"/>
      <c r="W250" s="22"/>
    </row>
    <row r="251" spans="2:23" x14ac:dyDescent="0.25">
      <c r="B251" s="21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218"/>
      <c r="U251" s="14"/>
      <c r="V251" s="14"/>
      <c r="W251" s="22"/>
    </row>
    <row r="252" spans="2:23" ht="15.6" thickBot="1" x14ac:dyDescent="0.3">
      <c r="B252" s="24"/>
      <c r="C252" s="25"/>
      <c r="D252" s="25"/>
      <c r="E252" s="25"/>
      <c r="F252" s="25"/>
      <c r="G252" s="25"/>
      <c r="H252" s="25"/>
      <c r="I252" s="25"/>
      <c r="J252" s="83"/>
      <c r="K252" s="25"/>
      <c r="L252" s="25"/>
      <c r="M252" s="25"/>
      <c r="N252" s="25"/>
      <c r="O252" s="25"/>
      <c r="P252" s="25"/>
      <c r="Q252" s="25"/>
      <c r="R252" s="25"/>
      <c r="S252" s="25"/>
      <c r="T252" s="189"/>
      <c r="U252" s="83"/>
      <c r="V252" s="25"/>
      <c r="W252" s="26"/>
    </row>
    <row r="253" spans="2:23" x14ac:dyDescent="0.25">
      <c r="T253" s="57"/>
    </row>
  </sheetData>
  <mergeCells count="33">
    <mergeCell ref="G149:H149"/>
    <mergeCell ref="AK157:AL157"/>
    <mergeCell ref="Z148:AA148"/>
    <mergeCell ref="N105:O105"/>
    <mergeCell ref="N4:O4"/>
    <mergeCell ref="G10:H10"/>
    <mergeCell ref="Y18:Z18"/>
    <mergeCell ref="N35:O35"/>
    <mergeCell ref="G41:H41"/>
    <mergeCell ref="Z35:AA35"/>
    <mergeCell ref="AK49:AL49"/>
    <mergeCell ref="N66:O66"/>
    <mergeCell ref="G80:H80"/>
    <mergeCell ref="Y88:Z88"/>
    <mergeCell ref="N73:O73"/>
    <mergeCell ref="N110:O110"/>
    <mergeCell ref="G123:H123"/>
    <mergeCell ref="Y131:Z131"/>
    <mergeCell ref="N115:O115"/>
    <mergeCell ref="N143:O143"/>
    <mergeCell ref="Z143:AA143"/>
    <mergeCell ref="Y214:Z214"/>
    <mergeCell ref="N174:O174"/>
    <mergeCell ref="Z174:AA174"/>
    <mergeCell ref="G180:H180"/>
    <mergeCell ref="T183:U183"/>
    <mergeCell ref="P241:P242"/>
    <mergeCell ref="G241:G242"/>
    <mergeCell ref="O241:O242"/>
    <mergeCell ref="H241:H242"/>
    <mergeCell ref="N194:O194"/>
    <mergeCell ref="N199:O199"/>
    <mergeCell ref="N204:O204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2"/>
  <sheetViews>
    <sheetView workbookViewId="0"/>
  </sheetViews>
  <sheetFormatPr defaultColWidth="9.109375" defaultRowHeight="15" x14ac:dyDescent="0.25"/>
  <cols>
    <col min="1" max="1" width="3.6640625" style="1" customWidth="1"/>
    <col min="2" max="2" width="12.44140625" style="1" bestFit="1" customWidth="1"/>
    <col min="3" max="3" width="5.88671875" style="1" customWidth="1"/>
    <col min="4" max="4" width="19" style="1" bestFit="1" customWidth="1"/>
    <col min="5" max="5" width="5.33203125" style="1" customWidth="1"/>
    <col min="6" max="6" width="17.88671875" style="1" customWidth="1"/>
    <col min="7" max="9" width="9.109375" style="1"/>
    <col min="10" max="10" width="14" style="1" bestFit="1" customWidth="1"/>
    <col min="11" max="12" width="9.109375" style="1"/>
    <col min="13" max="13" width="30.33203125" style="1" customWidth="1"/>
    <col min="14" max="16384" width="9.109375" style="1"/>
  </cols>
  <sheetData>
    <row r="2" spans="2:15" x14ac:dyDescent="0.25">
      <c r="B2" s="56" t="s">
        <v>10</v>
      </c>
      <c r="M2" s="6"/>
      <c r="N2" s="6"/>
      <c r="O2" s="6"/>
    </row>
    <row r="3" spans="2:15" x14ac:dyDescent="0.25">
      <c r="B3" s="46" t="s">
        <v>16</v>
      </c>
      <c r="D3" s="55">
        <f>'Pomocné výpočty'!C8</f>
        <v>4.9999999999999998E-7</v>
      </c>
      <c r="F3" s="45" t="s">
        <v>17</v>
      </c>
      <c r="G3" s="32">
        <v>2E-3</v>
      </c>
      <c r="H3" s="35" t="s">
        <v>18</v>
      </c>
      <c r="J3" s="45" t="s">
        <v>20</v>
      </c>
      <c r="K3" s="32">
        <v>50</v>
      </c>
      <c r="L3" s="35" t="s">
        <v>19</v>
      </c>
      <c r="M3" s="47">
        <f>D3*K3/G3</f>
        <v>1.2499999999999999E-2</v>
      </c>
      <c r="N3" s="48" t="s">
        <v>1</v>
      </c>
      <c r="O3" s="6"/>
    </row>
    <row r="4" spans="2:15" x14ac:dyDescent="0.2">
      <c r="B4" s="1" t="s">
        <v>11</v>
      </c>
      <c r="M4" s="6"/>
      <c r="N4" s="6"/>
      <c r="O4" s="6"/>
    </row>
    <row r="5" spans="2:15" x14ac:dyDescent="0.2">
      <c r="B5" s="1" t="s">
        <v>14</v>
      </c>
      <c r="M5" s="6"/>
      <c r="N5" s="6"/>
      <c r="O5" s="6"/>
    </row>
    <row r="6" spans="2:15" x14ac:dyDescent="0.25">
      <c r="B6" s="1" t="s">
        <v>12</v>
      </c>
      <c r="M6" s="6"/>
      <c r="N6" s="6"/>
      <c r="O6" s="6"/>
    </row>
    <row r="7" spans="2:15" x14ac:dyDescent="0.25">
      <c r="B7" s="1" t="s">
        <v>13</v>
      </c>
      <c r="M7" s="6"/>
      <c r="N7" s="6"/>
      <c r="O7" s="6"/>
    </row>
    <row r="8" spans="2:15" x14ac:dyDescent="0.25">
      <c r="B8" s="1" t="s">
        <v>15</v>
      </c>
      <c r="M8" s="6"/>
      <c r="N8" s="6"/>
      <c r="O8" s="6"/>
    </row>
    <row r="9" spans="2:15" x14ac:dyDescent="0.25">
      <c r="B9" s="1" t="s">
        <v>16</v>
      </c>
    </row>
    <row r="11" spans="2:15" x14ac:dyDescent="0.25">
      <c r="B11" s="1" t="s">
        <v>10</v>
      </c>
    </row>
    <row r="12" spans="2:15" x14ac:dyDescent="0.25">
      <c r="B12" s="46" t="s">
        <v>11</v>
      </c>
      <c r="D12" s="55">
        <f>'Pomocné výpočty'!C17</f>
        <v>1.6000000000000001E-8</v>
      </c>
      <c r="F12" s="45" t="s">
        <v>17</v>
      </c>
      <c r="G12" s="32">
        <v>1.5</v>
      </c>
      <c r="H12" s="35" t="s">
        <v>28</v>
      </c>
      <c r="J12" s="45" t="s">
        <v>20</v>
      </c>
      <c r="K12" s="32">
        <v>50</v>
      </c>
      <c r="L12" s="35" t="s">
        <v>19</v>
      </c>
      <c r="M12" s="47">
        <f>D12*K12/G12*1000*1000</f>
        <v>0.53333333333333333</v>
      </c>
      <c r="N12" s="48" t="s">
        <v>1</v>
      </c>
    </row>
    <row r="13" spans="2:15" x14ac:dyDescent="0.2">
      <c r="B13" s="1" t="s">
        <v>11</v>
      </c>
      <c r="M13" s="6"/>
      <c r="N13" s="6"/>
    </row>
    <row r="14" spans="2:15" x14ac:dyDescent="0.2">
      <c r="B14" s="1" t="s">
        <v>14</v>
      </c>
      <c r="M14" s="6"/>
      <c r="N14" s="6"/>
    </row>
    <row r="15" spans="2:15" x14ac:dyDescent="0.25">
      <c r="B15" s="1" t="s">
        <v>12</v>
      </c>
      <c r="M15" s="6"/>
      <c r="N15" s="6"/>
    </row>
    <row r="16" spans="2:15" x14ac:dyDescent="0.25">
      <c r="B16" s="1" t="s">
        <v>13</v>
      </c>
      <c r="M16" s="6"/>
      <c r="N16" s="6"/>
    </row>
    <row r="17" spans="2:14" x14ac:dyDescent="0.25">
      <c r="B17" s="1" t="s">
        <v>15</v>
      </c>
      <c r="M17" s="6"/>
      <c r="N17" s="6"/>
    </row>
    <row r="18" spans="2:14" x14ac:dyDescent="0.25">
      <c r="B18" s="1" t="s">
        <v>16</v>
      </c>
    </row>
    <row r="20" spans="2:14" ht="15.6" x14ac:dyDescent="0.3">
      <c r="B20" s="1" t="s">
        <v>57</v>
      </c>
      <c r="C20" s="74" t="s">
        <v>61</v>
      </c>
    </row>
    <row r="21" spans="2:14" ht="15.6" x14ac:dyDescent="0.3">
      <c r="B21" s="1" t="s">
        <v>57</v>
      </c>
      <c r="C21" s="74" t="s">
        <v>60</v>
      </c>
    </row>
    <row r="22" spans="2:14" ht="15.6" x14ac:dyDescent="0.3">
      <c r="B22" s="1" t="s">
        <v>58</v>
      </c>
      <c r="C22" s="74" t="s">
        <v>62</v>
      </c>
    </row>
  </sheetData>
  <dataValidations count="1">
    <dataValidation type="list" allowBlank="1" showInputMessage="1" showErrorMessage="1" sqref="B3:B9 B12:B18">
      <formula1>$B$3:$B$9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"/>
  <sheetViews>
    <sheetView workbookViewId="0"/>
  </sheetViews>
  <sheetFormatPr defaultColWidth="9.109375" defaultRowHeight="15" x14ac:dyDescent="0.25"/>
  <cols>
    <col min="1" max="1" width="3.88671875" style="1" customWidth="1"/>
    <col min="2" max="2" width="10.88671875" style="1" customWidth="1"/>
    <col min="3" max="4" width="9.109375" style="1"/>
    <col min="5" max="5" width="14" style="52" customWidth="1"/>
    <col min="6" max="6" width="9.109375" style="52"/>
    <col min="7" max="16384" width="9.109375" style="1"/>
  </cols>
  <sheetData>
    <row r="2" spans="2:6" x14ac:dyDescent="0.25">
      <c r="B2" s="32">
        <v>80</v>
      </c>
      <c r="C2" s="30" t="s">
        <v>1</v>
      </c>
      <c r="E2" s="51">
        <f>1/B2</f>
        <v>1.2500000000000001E-2</v>
      </c>
      <c r="F2" s="44" t="s">
        <v>22</v>
      </c>
    </row>
    <row r="4" spans="2:6" ht="15.6" x14ac:dyDescent="0.3">
      <c r="B4" s="32">
        <v>1.2</v>
      </c>
      <c r="C4" s="30" t="s">
        <v>3</v>
      </c>
      <c r="E4" s="206">
        <f>1/B4*1000</f>
        <v>833.33333333333337</v>
      </c>
      <c r="F4" s="44" t="s">
        <v>23</v>
      </c>
    </row>
    <row r="6" spans="2:6" ht="15.6" x14ac:dyDescent="0.3">
      <c r="B6" s="1" t="s">
        <v>57</v>
      </c>
      <c r="C6" s="74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"/>
  <sheetViews>
    <sheetView workbookViewId="0"/>
  </sheetViews>
  <sheetFormatPr defaultColWidth="9.109375" defaultRowHeight="15" x14ac:dyDescent="0.25"/>
  <cols>
    <col min="1" max="1" width="3.88671875" style="1" customWidth="1"/>
    <col min="2" max="3" width="9.109375" style="1"/>
    <col min="4" max="4" width="5.33203125" style="1" customWidth="1"/>
    <col min="5" max="5" width="14" style="1" customWidth="1"/>
    <col min="6" max="8" width="9.109375" style="1"/>
    <col min="9" max="9" width="20.88671875" style="1" bestFit="1" customWidth="1"/>
    <col min="10" max="12" width="9.109375" style="1"/>
    <col min="13" max="13" width="21.6640625" style="1" bestFit="1" customWidth="1"/>
    <col min="14" max="16384" width="9.109375" style="1"/>
  </cols>
  <sheetData>
    <row r="2" spans="2:15" x14ac:dyDescent="0.25">
      <c r="B2" s="32">
        <v>1</v>
      </c>
      <c r="C2" s="30" t="s">
        <v>3</v>
      </c>
      <c r="E2" s="45" t="s">
        <v>25</v>
      </c>
      <c r="F2" s="32">
        <v>20</v>
      </c>
      <c r="G2" s="53" t="s">
        <v>26</v>
      </c>
      <c r="I2" s="52" t="s">
        <v>27</v>
      </c>
      <c r="J2" s="51">
        <f>B2*1000*(1+F2/100)</f>
        <v>1200</v>
      </c>
      <c r="K2" s="42" t="s">
        <v>1</v>
      </c>
      <c r="L2" s="42"/>
      <c r="M2" s="52" t="s">
        <v>24</v>
      </c>
      <c r="N2" s="51">
        <f>B2*1000*(1-F2/100)</f>
        <v>800</v>
      </c>
      <c r="O2" s="42" t="s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workbookViewId="0"/>
  </sheetViews>
  <sheetFormatPr defaultColWidth="9.109375" defaultRowHeight="15" x14ac:dyDescent="0.25"/>
  <cols>
    <col min="1" max="1" width="3.6640625" style="1" customWidth="1"/>
    <col min="2" max="2" width="12" style="1" customWidth="1"/>
    <col min="3" max="3" width="9.109375" style="35"/>
    <col min="4" max="4" width="21.109375" style="40" customWidth="1"/>
    <col min="5" max="5" width="9.109375" style="44"/>
    <col min="6" max="16384" width="9.109375" style="1"/>
  </cols>
  <sheetData>
    <row r="1" spans="2:6" x14ac:dyDescent="0.2">
      <c r="B1" s="7"/>
      <c r="C1" s="34"/>
      <c r="D1" s="36"/>
      <c r="E1" s="41"/>
      <c r="F1" s="6"/>
    </row>
    <row r="2" spans="2:6" x14ac:dyDescent="0.25">
      <c r="B2" s="31">
        <v>5900</v>
      </c>
      <c r="C2" s="30" t="s">
        <v>1</v>
      </c>
      <c r="D2" s="37">
        <f>B2/1000</f>
        <v>5.9</v>
      </c>
      <c r="E2" s="42" t="s">
        <v>3</v>
      </c>
      <c r="F2" s="6"/>
    </row>
    <row r="3" spans="2:6" x14ac:dyDescent="0.2">
      <c r="B3" s="7"/>
      <c r="C3" s="30"/>
      <c r="D3" s="36"/>
      <c r="E3" s="42"/>
      <c r="F3" s="6"/>
    </row>
    <row r="4" spans="2:6" x14ac:dyDescent="0.25">
      <c r="B4" s="31">
        <v>160</v>
      </c>
      <c r="C4" s="30" t="s">
        <v>3</v>
      </c>
      <c r="D4" s="37">
        <f>B4*1000</f>
        <v>160000</v>
      </c>
      <c r="E4" s="42" t="s">
        <v>1</v>
      </c>
      <c r="F4" s="6"/>
    </row>
    <row r="5" spans="2:6" x14ac:dyDescent="0.2">
      <c r="B5" s="7"/>
      <c r="C5" s="34"/>
      <c r="D5" s="36"/>
      <c r="E5" s="41"/>
      <c r="F5" s="6"/>
    </row>
    <row r="6" spans="2:6" x14ac:dyDescent="0.25">
      <c r="B6" s="31">
        <v>1.5</v>
      </c>
      <c r="C6" s="34" t="s">
        <v>7</v>
      </c>
      <c r="D6" s="37">
        <f>B6*1000*1000</f>
        <v>1500000</v>
      </c>
      <c r="E6" s="42" t="s">
        <v>1</v>
      </c>
      <c r="F6" s="6"/>
    </row>
    <row r="7" spans="2:6" x14ac:dyDescent="0.2">
      <c r="B7" s="7"/>
      <c r="C7" s="34"/>
      <c r="D7" s="36"/>
      <c r="E7" s="41"/>
      <c r="F7" s="6"/>
    </row>
    <row r="8" spans="2:6" x14ac:dyDescent="0.2">
      <c r="B8" s="7"/>
      <c r="C8" s="34"/>
      <c r="D8" s="36"/>
      <c r="E8" s="41"/>
      <c r="F8" s="6"/>
    </row>
    <row r="9" spans="2:6" x14ac:dyDescent="0.2">
      <c r="B9" s="7"/>
      <c r="C9" s="34"/>
      <c r="D9" s="36"/>
      <c r="E9" s="41"/>
      <c r="F9" s="6"/>
    </row>
    <row r="10" spans="2:6" x14ac:dyDescent="0.2">
      <c r="B10" s="32">
        <v>2000</v>
      </c>
      <c r="C10" s="33" t="s">
        <v>4</v>
      </c>
      <c r="D10" s="164">
        <f>B10/1000/1000/1000/1000</f>
        <v>1.9999999999999997E-9</v>
      </c>
      <c r="E10" s="43" t="s">
        <v>5</v>
      </c>
      <c r="F10" s="6"/>
    </row>
    <row r="11" spans="2:6" x14ac:dyDescent="0.2">
      <c r="B11" s="6"/>
      <c r="C11" s="33"/>
      <c r="D11" s="39"/>
      <c r="E11" s="43"/>
      <c r="F11" s="6"/>
    </row>
    <row r="12" spans="2:6" ht="15.6" x14ac:dyDescent="0.3">
      <c r="B12" s="32">
        <v>2000</v>
      </c>
      <c r="C12" s="33" t="s">
        <v>8</v>
      </c>
      <c r="D12" s="38">
        <f>B12/1000</f>
        <v>2</v>
      </c>
      <c r="E12" s="43" t="s">
        <v>9</v>
      </c>
      <c r="F12" s="6"/>
    </row>
    <row r="13" spans="2:6" x14ac:dyDescent="0.2">
      <c r="B13" s="6"/>
      <c r="C13" s="33"/>
      <c r="D13" s="39"/>
      <c r="E13" s="43"/>
      <c r="F13" s="6"/>
    </row>
    <row r="14" spans="2:6" x14ac:dyDescent="0.2">
      <c r="B14" s="32">
        <v>0.5</v>
      </c>
      <c r="C14" s="33" t="s">
        <v>5</v>
      </c>
      <c r="D14" s="38">
        <f>B14*1000</f>
        <v>500</v>
      </c>
      <c r="E14" s="43" t="s">
        <v>9</v>
      </c>
      <c r="F14" s="6"/>
    </row>
    <row r="15" spans="2:6" x14ac:dyDescent="0.2">
      <c r="B15" s="6"/>
      <c r="C15" s="33"/>
      <c r="D15" s="39"/>
      <c r="E15" s="43"/>
      <c r="F15" s="6"/>
    </row>
    <row r="16" spans="2:6" x14ac:dyDescent="0.2">
      <c r="B16" s="6"/>
      <c r="C16" s="33"/>
      <c r="D16" s="39"/>
      <c r="E16" s="43"/>
      <c r="F16" s="6"/>
    </row>
    <row r="17" spans="2:6" x14ac:dyDescent="0.2">
      <c r="B17" s="6"/>
      <c r="C17" s="33"/>
      <c r="D17" s="39"/>
      <c r="E17" s="43"/>
      <c r="F17" s="6"/>
    </row>
    <row r="18" spans="2:6" x14ac:dyDescent="0.2">
      <c r="B18" s="32">
        <v>0.2</v>
      </c>
      <c r="C18" s="33" t="s">
        <v>2</v>
      </c>
      <c r="D18" s="38">
        <f>B18*1000</f>
        <v>200</v>
      </c>
      <c r="E18" s="43" t="s">
        <v>6</v>
      </c>
      <c r="F18" s="6"/>
    </row>
    <row r="19" spans="2:6" x14ac:dyDescent="0.2">
      <c r="B19" s="6"/>
      <c r="C19" s="33"/>
      <c r="D19" s="39"/>
      <c r="E19" s="43"/>
      <c r="F19" s="6"/>
    </row>
    <row r="20" spans="2:6" ht="15.6" x14ac:dyDescent="0.3">
      <c r="B20" s="32">
        <v>200</v>
      </c>
      <c r="C20" s="33" t="s">
        <v>21</v>
      </c>
      <c r="D20" s="49">
        <f>B20/1000/1000</f>
        <v>2.0000000000000001E-4</v>
      </c>
      <c r="E20" s="43" t="s">
        <v>2</v>
      </c>
      <c r="F20" s="6"/>
    </row>
    <row r="24" spans="2:6" x14ac:dyDescent="0.25">
      <c r="B24" s="32">
        <v>180</v>
      </c>
      <c r="C24" s="35" t="s">
        <v>150</v>
      </c>
      <c r="D24" s="209">
        <f>3.14159/180*B24</f>
        <v>3.1415899999999999</v>
      </c>
      <c r="E24" s="44" t="s">
        <v>151</v>
      </c>
    </row>
    <row r="26" spans="2:6" x14ac:dyDescent="0.25">
      <c r="B26" s="32">
        <v>2</v>
      </c>
      <c r="C26" s="35" t="s">
        <v>151</v>
      </c>
      <c r="D26" s="209">
        <f>180*B26/3.14159</f>
        <v>114.59165581759555</v>
      </c>
      <c r="E26" s="44" t="s">
        <v>150</v>
      </c>
    </row>
    <row r="28" spans="2:6" ht="15.75" x14ac:dyDescent="0.25">
      <c r="B28" s="1" t="s">
        <v>147</v>
      </c>
      <c r="C28" s="74" t="s">
        <v>152</v>
      </c>
    </row>
  </sheetData>
  <hyperlinks>
    <hyperlink ref="C28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7"/>
  <sheetViews>
    <sheetView workbookViewId="0"/>
  </sheetViews>
  <sheetFormatPr defaultColWidth="9.109375" defaultRowHeight="15" x14ac:dyDescent="0.25"/>
  <cols>
    <col min="1" max="1" width="3.5546875" style="1" customWidth="1"/>
    <col min="2" max="2" width="14.88671875" style="1" customWidth="1"/>
    <col min="3" max="3" width="4.5546875" style="1" customWidth="1"/>
    <col min="4" max="4" width="15" style="1" customWidth="1"/>
    <col min="5" max="5" width="4.5546875" style="1" customWidth="1"/>
    <col min="6" max="6" width="15.44140625" style="1" customWidth="1"/>
    <col min="7" max="7" width="4.44140625" style="1" customWidth="1"/>
    <col min="8" max="8" width="15" style="1" customWidth="1"/>
    <col min="9" max="9" width="9.109375" style="1"/>
    <col min="10" max="10" width="3.6640625" style="1" customWidth="1"/>
    <col min="11" max="11" width="3.109375" style="1" customWidth="1"/>
    <col min="12" max="12" width="3.44140625" style="1" customWidth="1"/>
    <col min="13" max="13" width="25.109375" style="1" customWidth="1"/>
    <col min="14" max="14" width="4.88671875" style="1" customWidth="1"/>
    <col min="15" max="15" width="4.88671875" style="57" customWidth="1"/>
    <col min="16" max="16" width="25.5546875" style="1" bestFit="1" customWidth="1"/>
    <col min="17" max="17" width="7.6640625" style="1" customWidth="1"/>
    <col min="18" max="18" width="7.33203125" style="1" customWidth="1"/>
    <col min="19" max="16384" width="9.109375" style="1"/>
  </cols>
  <sheetData>
    <row r="2" spans="2:20" x14ac:dyDescent="0.25">
      <c r="B2" s="1" t="s">
        <v>29</v>
      </c>
      <c r="D2" s="1" t="s">
        <v>30</v>
      </c>
      <c r="F2" s="1" t="s">
        <v>45</v>
      </c>
      <c r="H2" s="1" t="s">
        <v>44</v>
      </c>
      <c r="J2" s="225">
        <f>'Pomocné výpočty'!C30</f>
        <v>5</v>
      </c>
      <c r="K2" s="226">
        <f>'Pomocné výpočty'!E30</f>
        <v>2</v>
      </c>
      <c r="L2" s="57" t="s">
        <v>46</v>
      </c>
      <c r="M2" s="228">
        <f>'Pomocné výpočty'!G32</f>
        <v>1000000000</v>
      </c>
      <c r="N2" s="42" t="s">
        <v>1</v>
      </c>
      <c r="O2" s="57" t="s">
        <v>64</v>
      </c>
      <c r="P2" s="92">
        <f>(J2*10+K2)*M2</f>
        <v>52000000000</v>
      </c>
      <c r="Q2" s="42" t="s">
        <v>1</v>
      </c>
      <c r="R2" s="59" t="s">
        <v>47</v>
      </c>
      <c r="S2" s="51">
        <f>'Pomocné výpočty'!I28</f>
        <v>10</v>
      </c>
      <c r="T2" s="44" t="s">
        <v>26</v>
      </c>
    </row>
    <row r="3" spans="2:20" x14ac:dyDescent="0.25">
      <c r="B3" s="46" t="s">
        <v>38</v>
      </c>
      <c r="D3" s="46" t="s">
        <v>35</v>
      </c>
      <c r="F3" s="46" t="s">
        <v>42</v>
      </c>
      <c r="H3" s="46" t="s">
        <v>31</v>
      </c>
      <c r="M3" s="75"/>
      <c r="P3" s="75"/>
    </row>
    <row r="4" spans="2:20" x14ac:dyDescent="0.25">
      <c r="B4" s="1" t="s">
        <v>33</v>
      </c>
      <c r="D4" s="1" t="s">
        <v>33</v>
      </c>
      <c r="F4" s="1" t="s">
        <v>31</v>
      </c>
      <c r="H4" s="1" t="s">
        <v>31</v>
      </c>
      <c r="J4" s="227">
        <f>J2</f>
        <v>5</v>
      </c>
      <c r="K4" s="226">
        <f>K2</f>
        <v>2</v>
      </c>
      <c r="L4" s="57" t="str">
        <f>L2</f>
        <v>x</v>
      </c>
      <c r="M4" s="229">
        <f>M2/1000</f>
        <v>1000000</v>
      </c>
      <c r="N4" s="42" t="s">
        <v>3</v>
      </c>
      <c r="O4" s="57" t="s">
        <v>64</v>
      </c>
      <c r="P4" s="76">
        <f>(J4*10+K4)*M4</f>
        <v>52000000</v>
      </c>
      <c r="Q4" s="42" t="s">
        <v>3</v>
      </c>
    </row>
    <row r="5" spans="2:20" x14ac:dyDescent="0.25">
      <c r="B5" s="1" t="s">
        <v>34</v>
      </c>
      <c r="D5" s="1" t="s">
        <v>34</v>
      </c>
      <c r="F5" s="1" t="s">
        <v>32</v>
      </c>
      <c r="H5" s="1" t="s">
        <v>32</v>
      </c>
      <c r="L5" s="57"/>
      <c r="M5" s="75"/>
      <c r="P5" s="75"/>
    </row>
    <row r="6" spans="2:20" x14ac:dyDescent="0.25">
      <c r="B6" s="1" t="s">
        <v>35</v>
      </c>
      <c r="D6" s="1" t="s">
        <v>35</v>
      </c>
      <c r="F6" s="1" t="s">
        <v>33</v>
      </c>
      <c r="H6" s="1" t="s">
        <v>34</v>
      </c>
      <c r="J6" s="227">
        <f>J4</f>
        <v>5</v>
      </c>
      <c r="K6" s="226">
        <f>K4</f>
        <v>2</v>
      </c>
      <c r="L6" s="57" t="str">
        <f>L4</f>
        <v>x</v>
      </c>
      <c r="M6" s="229">
        <f>M4/1000</f>
        <v>1000</v>
      </c>
      <c r="N6" s="42" t="s">
        <v>7</v>
      </c>
      <c r="O6" s="57" t="s">
        <v>64</v>
      </c>
      <c r="P6" s="76">
        <f>(J6*10+K6)*M6</f>
        <v>52000</v>
      </c>
      <c r="Q6" s="42" t="s">
        <v>7</v>
      </c>
    </row>
    <row r="7" spans="2:20" x14ac:dyDescent="0.25">
      <c r="B7" s="1" t="s">
        <v>36</v>
      </c>
      <c r="D7" s="1" t="s">
        <v>36</v>
      </c>
      <c r="F7" s="1" t="s">
        <v>34</v>
      </c>
      <c r="H7" s="1" t="s">
        <v>35</v>
      </c>
    </row>
    <row r="8" spans="2:20" x14ac:dyDescent="0.25">
      <c r="B8" s="1" t="s">
        <v>37</v>
      </c>
      <c r="D8" s="1" t="s">
        <v>37</v>
      </c>
      <c r="F8" s="1" t="s">
        <v>35</v>
      </c>
      <c r="H8" s="1" t="s">
        <v>38</v>
      </c>
    </row>
    <row r="9" spans="2:20" x14ac:dyDescent="0.25">
      <c r="B9" s="1" t="s">
        <v>38</v>
      </c>
      <c r="D9" s="1" t="s">
        <v>38</v>
      </c>
      <c r="F9" s="1" t="s">
        <v>36</v>
      </c>
      <c r="H9" s="1" t="s">
        <v>39</v>
      </c>
    </row>
    <row r="10" spans="2:20" x14ac:dyDescent="0.25">
      <c r="B10" s="1" t="s">
        <v>39</v>
      </c>
      <c r="D10" s="1" t="s">
        <v>39</v>
      </c>
      <c r="F10" s="1" t="s">
        <v>37</v>
      </c>
      <c r="H10" s="1" t="s">
        <v>40</v>
      </c>
    </row>
    <row r="11" spans="2:20" x14ac:dyDescent="0.25">
      <c r="B11" s="1" t="s">
        <v>40</v>
      </c>
      <c r="D11" s="1" t="s">
        <v>40</v>
      </c>
      <c r="F11" s="1" t="s">
        <v>38</v>
      </c>
      <c r="H11" s="1" t="s">
        <v>43</v>
      </c>
    </row>
    <row r="12" spans="2:20" x14ac:dyDescent="0.25">
      <c r="B12" s="1" t="s">
        <v>41</v>
      </c>
      <c r="D12" s="1" t="s">
        <v>41</v>
      </c>
      <c r="F12" s="1" t="s">
        <v>39</v>
      </c>
    </row>
    <row r="13" spans="2:20" x14ac:dyDescent="0.25">
      <c r="B13" s="1" t="s">
        <v>42</v>
      </c>
      <c r="D13" s="1" t="s">
        <v>42</v>
      </c>
      <c r="F13" s="1" t="s">
        <v>40</v>
      </c>
    </row>
    <row r="14" spans="2:20" x14ac:dyDescent="0.25">
      <c r="F14" s="1" t="s">
        <v>41</v>
      </c>
    </row>
    <row r="15" spans="2:20" x14ac:dyDescent="0.2">
      <c r="F15" s="1" t="s">
        <v>42</v>
      </c>
    </row>
    <row r="17" spans="2:3" ht="15.6" x14ac:dyDescent="0.3">
      <c r="B17" s="1" t="s">
        <v>57</v>
      </c>
      <c r="C17" s="74" t="s">
        <v>63</v>
      </c>
    </row>
  </sheetData>
  <dataValidations count="4">
    <dataValidation type="list" allowBlank="1" showInputMessage="1" showErrorMessage="1" sqref="B3">
      <formula1>$B$4:$B$13</formula1>
    </dataValidation>
    <dataValidation type="list" allowBlank="1" showInputMessage="1" showErrorMessage="1" sqref="D3">
      <formula1>$D$4:$D$13</formula1>
    </dataValidation>
    <dataValidation type="list" allowBlank="1" showInputMessage="1" showErrorMessage="1" sqref="F3">
      <formula1>$F$4:$F$15</formula1>
    </dataValidation>
    <dataValidation type="list" allowBlank="1" showInputMessage="1" showErrorMessage="1" sqref="H3">
      <formula1>$H$4:$H$11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67"/>
  <sheetViews>
    <sheetView zoomScaleNormal="100" workbookViewId="0"/>
  </sheetViews>
  <sheetFormatPr defaultColWidth="4" defaultRowHeight="15" x14ac:dyDescent="0.25"/>
  <cols>
    <col min="1" max="10" width="4" style="1"/>
    <col min="11" max="11" width="5" style="1" bestFit="1" customWidth="1"/>
    <col min="12" max="24" width="4" style="1"/>
    <col min="25" max="26" width="4" style="1" customWidth="1"/>
    <col min="27" max="29" width="4" style="1"/>
    <col min="30" max="30" width="4.6640625" style="1" customWidth="1"/>
    <col min="31" max="33" width="4" style="1"/>
    <col min="34" max="34" width="5.109375" style="1" bestFit="1" customWidth="1"/>
    <col min="35" max="35" width="4" style="1"/>
    <col min="36" max="36" width="4.5546875" style="1" bestFit="1" customWidth="1"/>
    <col min="37" max="16384" width="4" style="1"/>
  </cols>
  <sheetData>
    <row r="1" spans="1:36" ht="15.75" thickBot="1" x14ac:dyDescent="0.25"/>
    <row r="2" spans="1:36" x14ac:dyDescent="0.2"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20"/>
    </row>
    <row r="3" spans="1:36" x14ac:dyDescent="0.2">
      <c r="A3" s="2"/>
      <c r="B3" s="21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22"/>
    </row>
    <row r="4" spans="1:36" x14ac:dyDescent="0.2">
      <c r="A4" s="2"/>
      <c r="B4" s="21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22"/>
    </row>
    <row r="5" spans="1:36" x14ac:dyDescent="0.2">
      <c r="A5" s="2"/>
      <c r="B5" s="21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22"/>
    </row>
    <row r="6" spans="1:36" ht="15.75" x14ac:dyDescent="0.25">
      <c r="A6" s="2"/>
      <c r="B6" s="21"/>
      <c r="C6" s="14"/>
      <c r="D6" s="14"/>
      <c r="E6" s="14"/>
      <c r="F6" s="11"/>
      <c r="G6" s="11"/>
      <c r="H6" s="11"/>
      <c r="I6" s="11"/>
      <c r="J6" s="11"/>
      <c r="K6" s="11"/>
      <c r="L6" s="14"/>
      <c r="M6" s="14"/>
      <c r="N6" s="238">
        <v>8</v>
      </c>
      <c r="O6" s="238"/>
      <c r="P6" s="15" t="s">
        <v>2</v>
      </c>
      <c r="Q6" s="14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4"/>
      <c r="AH6" s="14"/>
      <c r="AI6" s="14"/>
      <c r="AJ6" s="22"/>
    </row>
    <row r="7" spans="1:36" x14ac:dyDescent="0.2">
      <c r="A7" s="2"/>
      <c r="B7" s="21"/>
      <c r="C7" s="14"/>
      <c r="D7" s="14"/>
      <c r="E7" s="14"/>
      <c r="F7" s="13"/>
      <c r="G7" s="14"/>
      <c r="H7" s="14"/>
      <c r="I7" s="14"/>
      <c r="J7" s="14"/>
      <c r="K7" s="14"/>
      <c r="L7" s="14"/>
      <c r="M7" s="208" t="str">
        <f>IF(AF34&gt;0,"","Zvýšte hodnotu I")</f>
        <v/>
      </c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3"/>
      <c r="AA7" s="14"/>
      <c r="AB7" s="14"/>
      <c r="AC7" s="14"/>
      <c r="AD7" s="14"/>
      <c r="AE7" s="14"/>
      <c r="AF7" s="16"/>
      <c r="AG7" s="14"/>
      <c r="AH7" s="14"/>
      <c r="AI7" s="14"/>
      <c r="AJ7" s="22"/>
    </row>
    <row r="8" spans="1:36" x14ac:dyDescent="0.2">
      <c r="A8" s="2"/>
      <c r="B8" s="21"/>
      <c r="C8" s="14"/>
      <c r="D8" s="14"/>
      <c r="E8" s="14"/>
      <c r="F8" s="13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3"/>
      <c r="AA8" s="14"/>
      <c r="AB8" s="14"/>
      <c r="AC8" s="14"/>
      <c r="AD8" s="14"/>
      <c r="AE8" s="14"/>
      <c r="AF8" s="16"/>
      <c r="AG8" s="14"/>
      <c r="AH8" s="14"/>
      <c r="AI8" s="14"/>
      <c r="AJ8" s="22"/>
    </row>
    <row r="9" spans="1:36" x14ac:dyDescent="0.2">
      <c r="A9" s="2"/>
      <c r="B9" s="21"/>
      <c r="C9" s="14"/>
      <c r="D9" s="14"/>
      <c r="E9" s="14"/>
      <c r="F9" s="13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3"/>
      <c r="AA9" s="14"/>
      <c r="AB9" s="14"/>
      <c r="AC9" s="14"/>
      <c r="AD9" s="14"/>
      <c r="AE9" s="14"/>
      <c r="AF9" s="16"/>
      <c r="AG9" s="14"/>
      <c r="AH9" s="14"/>
      <c r="AI9" s="14"/>
      <c r="AJ9" s="22"/>
    </row>
    <row r="10" spans="1:36" x14ac:dyDescent="0.2">
      <c r="A10" s="2"/>
      <c r="B10" s="21"/>
      <c r="C10" s="14"/>
      <c r="D10" s="14"/>
      <c r="E10" s="14"/>
      <c r="F10" s="13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3"/>
      <c r="AA10" s="14"/>
      <c r="AB10" s="14"/>
      <c r="AC10" s="14"/>
      <c r="AD10" s="14"/>
      <c r="AE10" s="14"/>
      <c r="AF10" s="16"/>
      <c r="AG10" s="14"/>
      <c r="AH10" s="14"/>
      <c r="AI10" s="14"/>
      <c r="AJ10" s="22"/>
    </row>
    <row r="11" spans="1:36" x14ac:dyDescent="0.2">
      <c r="A11" s="2"/>
      <c r="B11" s="21"/>
      <c r="C11" s="14"/>
      <c r="D11" s="14"/>
      <c r="E11" s="14"/>
      <c r="F11" s="13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3"/>
      <c r="AA11" s="14"/>
      <c r="AB11" s="14"/>
      <c r="AC11" s="14"/>
      <c r="AD11" s="14"/>
      <c r="AE11" s="14"/>
      <c r="AF11" s="16"/>
      <c r="AG11" s="14"/>
      <c r="AH11" s="14"/>
      <c r="AI11" s="14"/>
      <c r="AJ11" s="77"/>
    </row>
    <row r="12" spans="1:36" x14ac:dyDescent="0.2">
      <c r="A12" s="2"/>
      <c r="B12" s="21"/>
      <c r="C12" s="14"/>
      <c r="D12" s="14"/>
      <c r="E12" s="14"/>
      <c r="F12" s="13"/>
      <c r="G12" s="238">
        <v>220</v>
      </c>
      <c r="H12" s="238"/>
      <c r="I12" s="23" t="s">
        <v>0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3"/>
      <c r="AA12" s="14"/>
      <c r="AB12" s="14"/>
      <c r="AC12" s="14"/>
      <c r="AD12" s="14"/>
      <c r="AE12" s="14"/>
      <c r="AF12" s="16"/>
      <c r="AG12" s="14"/>
      <c r="AH12" s="14"/>
      <c r="AI12" s="14"/>
      <c r="AJ12" s="22"/>
    </row>
    <row r="13" spans="1:36" x14ac:dyDescent="0.2">
      <c r="A13" s="2"/>
      <c r="B13" s="21"/>
      <c r="C13" s="14"/>
      <c r="D13" s="14"/>
      <c r="E13" s="14"/>
      <c r="F13" s="13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3"/>
      <c r="AA13" s="14"/>
      <c r="AB13" s="14"/>
      <c r="AC13" s="14"/>
      <c r="AD13" s="14"/>
      <c r="AE13" s="14"/>
      <c r="AF13" s="16"/>
      <c r="AG13" s="14"/>
      <c r="AH13" s="14"/>
      <c r="AI13" s="14"/>
      <c r="AJ13" s="22"/>
    </row>
    <row r="14" spans="1:36" x14ac:dyDescent="0.2">
      <c r="A14" s="2"/>
      <c r="B14" s="21"/>
      <c r="C14" s="11"/>
      <c r="D14" s="11"/>
      <c r="E14" s="11"/>
      <c r="F14" s="17"/>
      <c r="G14" s="11"/>
      <c r="H14" s="11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3"/>
      <c r="AA14" s="14"/>
      <c r="AB14" s="14"/>
      <c r="AC14" s="14"/>
      <c r="AD14" s="14"/>
      <c r="AE14" s="14"/>
      <c r="AF14" s="16"/>
      <c r="AG14" s="14"/>
      <c r="AH14" s="14"/>
      <c r="AI14" s="14"/>
      <c r="AJ14" s="22"/>
    </row>
    <row r="15" spans="1:36" x14ac:dyDescent="0.2">
      <c r="A15" s="2"/>
      <c r="B15" s="21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1"/>
      <c r="Y15" s="11"/>
      <c r="Z15" s="17"/>
      <c r="AA15" s="11"/>
      <c r="AB15" s="14"/>
      <c r="AC15" s="14"/>
      <c r="AD15" s="14"/>
      <c r="AE15" s="14"/>
      <c r="AF15" s="12"/>
      <c r="AG15" s="14"/>
      <c r="AH15" s="14"/>
      <c r="AI15" s="14"/>
      <c r="AJ15" s="22"/>
    </row>
    <row r="16" spans="1:36" x14ac:dyDescent="0.2">
      <c r="A16" s="2"/>
      <c r="B16" s="21"/>
      <c r="C16" s="14"/>
      <c r="D16" s="3"/>
      <c r="E16" s="4"/>
      <c r="F16" s="4"/>
      <c r="G16" s="5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97"/>
      <c r="Y16" s="98"/>
      <c r="Z16" s="98"/>
      <c r="AA16" s="99"/>
      <c r="AB16" s="14"/>
      <c r="AC16" s="14"/>
      <c r="AD16" s="14"/>
      <c r="AE16" s="97"/>
      <c r="AF16" s="98"/>
      <c r="AG16" s="98"/>
      <c r="AH16" s="99"/>
      <c r="AI16" s="14"/>
      <c r="AJ16" s="22"/>
    </row>
    <row r="17" spans="1:36" x14ac:dyDescent="0.2">
      <c r="A17" s="2"/>
      <c r="B17" s="21"/>
      <c r="C17" s="11"/>
      <c r="D17" s="11"/>
      <c r="E17" s="11"/>
      <c r="F17" s="11"/>
      <c r="G17" s="11"/>
      <c r="H17" s="11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00"/>
      <c r="Y17" s="84"/>
      <c r="Z17" s="84"/>
      <c r="AA17" s="102"/>
      <c r="AB17" s="14"/>
      <c r="AC17" s="14"/>
      <c r="AD17" s="14"/>
      <c r="AE17" s="100"/>
      <c r="AF17" s="84"/>
      <c r="AG17" s="84"/>
      <c r="AH17" s="102"/>
      <c r="AI17" s="14"/>
      <c r="AJ17" s="22"/>
    </row>
    <row r="18" spans="1:36" x14ac:dyDescent="0.2">
      <c r="A18" s="2"/>
      <c r="B18" s="21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00"/>
      <c r="Y18" s="84"/>
      <c r="Z18" s="84"/>
      <c r="AA18" s="102"/>
      <c r="AB18" s="14"/>
      <c r="AC18" s="14"/>
      <c r="AD18" s="14"/>
      <c r="AE18" s="100"/>
      <c r="AF18" s="84"/>
      <c r="AG18" s="84"/>
      <c r="AH18" s="102"/>
      <c r="AI18" s="14"/>
      <c r="AJ18" s="22"/>
    </row>
    <row r="19" spans="1:36" x14ac:dyDescent="0.2">
      <c r="A19" s="2"/>
      <c r="B19" s="21"/>
      <c r="C19" s="14"/>
      <c r="D19" s="3"/>
      <c r="E19" s="4"/>
      <c r="F19" s="4"/>
      <c r="G19" s="5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00"/>
      <c r="Y19" s="84"/>
      <c r="Z19" s="84"/>
      <c r="AA19" s="102"/>
      <c r="AB19" s="14"/>
      <c r="AC19" s="14"/>
      <c r="AD19" s="14"/>
      <c r="AE19" s="100"/>
      <c r="AF19" s="84"/>
      <c r="AG19" s="84"/>
      <c r="AH19" s="102"/>
      <c r="AI19" s="14"/>
      <c r="AJ19" s="22"/>
    </row>
    <row r="20" spans="1:36" x14ac:dyDescent="0.25">
      <c r="A20" s="2"/>
      <c r="B20" s="21"/>
      <c r="C20" s="11"/>
      <c r="D20" s="11"/>
      <c r="E20" s="11"/>
      <c r="F20" s="11"/>
      <c r="G20" s="11"/>
      <c r="H20" s="11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00"/>
      <c r="Y20" s="238">
        <v>100</v>
      </c>
      <c r="Z20" s="238"/>
      <c r="AA20" s="170" t="s">
        <v>1</v>
      </c>
      <c r="AB20" s="14"/>
      <c r="AC20" s="14"/>
      <c r="AD20" s="14"/>
      <c r="AE20" s="100"/>
      <c r="AF20" s="239">
        <f>G12/AF34</f>
        <v>37.931034482758619</v>
      </c>
      <c r="AG20" s="239"/>
      <c r="AH20" s="171" t="s">
        <v>1</v>
      </c>
      <c r="AI20" s="14"/>
      <c r="AJ20" s="22"/>
    </row>
    <row r="21" spans="1:36" x14ac:dyDescent="0.2">
      <c r="A21" s="2"/>
      <c r="B21" s="21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00"/>
      <c r="Y21" s="84"/>
      <c r="Z21" s="84"/>
      <c r="AA21" s="102"/>
      <c r="AB21" s="14"/>
      <c r="AC21" s="14"/>
      <c r="AD21" s="14"/>
      <c r="AE21" s="100"/>
      <c r="AF21" s="84"/>
      <c r="AG21" s="84"/>
      <c r="AH21" s="102"/>
      <c r="AI21" s="14"/>
      <c r="AJ21" s="22"/>
    </row>
    <row r="22" spans="1:36" x14ac:dyDescent="0.2">
      <c r="A22" s="2"/>
      <c r="B22" s="21"/>
      <c r="C22" s="14"/>
      <c r="D22" s="3"/>
      <c r="E22" s="4"/>
      <c r="F22" s="4"/>
      <c r="G22" s="5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00"/>
      <c r="Y22" s="84"/>
      <c r="Z22" s="84"/>
      <c r="AA22" s="102"/>
      <c r="AB22" s="14"/>
      <c r="AC22" s="14"/>
      <c r="AD22" s="14"/>
      <c r="AE22" s="100"/>
      <c r="AF22" s="84"/>
      <c r="AG22" s="84"/>
      <c r="AH22" s="102"/>
      <c r="AI22" s="14"/>
      <c r="AJ22" s="22"/>
    </row>
    <row r="23" spans="1:36" x14ac:dyDescent="0.2">
      <c r="A23" s="2"/>
      <c r="B23" s="21"/>
      <c r="C23" s="14"/>
      <c r="D23" s="14"/>
      <c r="E23" s="14"/>
      <c r="F23" s="8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00"/>
      <c r="Y23" s="84"/>
      <c r="Z23" s="84"/>
      <c r="AA23" s="102"/>
      <c r="AB23" s="14"/>
      <c r="AC23" s="14"/>
      <c r="AD23" s="14"/>
      <c r="AE23" s="100"/>
      <c r="AF23" s="84"/>
      <c r="AG23" s="84"/>
      <c r="AH23" s="102"/>
      <c r="AI23" s="14"/>
      <c r="AJ23" s="22"/>
    </row>
    <row r="24" spans="1:36" x14ac:dyDescent="0.2">
      <c r="A24" s="2"/>
      <c r="B24" s="21"/>
      <c r="C24" s="14"/>
      <c r="D24" s="14"/>
      <c r="E24" s="14"/>
      <c r="F24" s="13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03"/>
      <c r="Y24" s="104"/>
      <c r="Z24" s="104"/>
      <c r="AA24" s="105"/>
      <c r="AB24" s="14"/>
      <c r="AC24" s="14"/>
      <c r="AD24" s="14"/>
      <c r="AE24" s="103"/>
      <c r="AF24" s="104"/>
      <c r="AG24" s="104"/>
      <c r="AH24" s="105"/>
      <c r="AI24" s="14"/>
      <c r="AJ24" s="22"/>
    </row>
    <row r="25" spans="1:36" x14ac:dyDescent="0.2">
      <c r="A25" s="2"/>
      <c r="B25" s="21"/>
      <c r="C25" s="14"/>
      <c r="D25" s="14"/>
      <c r="E25" s="14"/>
      <c r="F25" s="13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0"/>
      <c r="Z25" s="14"/>
      <c r="AA25" s="14"/>
      <c r="AB25" s="14"/>
      <c r="AC25" s="14"/>
      <c r="AD25" s="14"/>
      <c r="AE25" s="14"/>
      <c r="AF25" s="10"/>
      <c r="AG25" s="14"/>
      <c r="AH25" s="14"/>
      <c r="AI25" s="14"/>
      <c r="AJ25" s="22"/>
    </row>
    <row r="26" spans="1:36" x14ac:dyDescent="0.2">
      <c r="A26" s="2"/>
      <c r="B26" s="21"/>
      <c r="C26" s="14"/>
      <c r="D26" s="14"/>
      <c r="E26" s="14"/>
      <c r="F26" s="13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6"/>
      <c r="Z26" s="14"/>
      <c r="AA26" s="14"/>
      <c r="AB26" s="14"/>
      <c r="AC26" s="14"/>
      <c r="AD26" s="14"/>
      <c r="AE26" s="14"/>
      <c r="AF26" s="16"/>
      <c r="AG26" s="14"/>
      <c r="AH26" s="14"/>
      <c r="AI26" s="14"/>
      <c r="AJ26" s="22"/>
    </row>
    <row r="27" spans="1:36" x14ac:dyDescent="0.2">
      <c r="A27" s="2"/>
      <c r="B27" s="21"/>
      <c r="C27" s="14"/>
      <c r="D27" s="14"/>
      <c r="E27" s="14"/>
      <c r="F27" s="13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6"/>
      <c r="Z27" s="14"/>
      <c r="AA27" s="14"/>
      <c r="AB27" s="14"/>
      <c r="AC27" s="14"/>
      <c r="AD27" s="14"/>
      <c r="AE27" s="14"/>
      <c r="AF27" s="16"/>
      <c r="AG27" s="14"/>
      <c r="AH27" s="14"/>
      <c r="AI27" s="14"/>
      <c r="AJ27" s="22"/>
    </row>
    <row r="28" spans="1:36" x14ac:dyDescent="0.2">
      <c r="A28" s="2"/>
      <c r="B28" s="21"/>
      <c r="C28" s="14"/>
      <c r="D28" s="14"/>
      <c r="E28" s="14"/>
      <c r="F28" s="13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6"/>
      <c r="Z28" s="14"/>
      <c r="AA28" s="14"/>
      <c r="AB28" s="14"/>
      <c r="AC28" s="14"/>
      <c r="AD28" s="14"/>
      <c r="AE28" s="14"/>
      <c r="AF28" s="16"/>
      <c r="AG28" s="14"/>
      <c r="AH28" s="14"/>
      <c r="AI28" s="14"/>
      <c r="AJ28" s="22"/>
    </row>
    <row r="29" spans="1:36" x14ac:dyDescent="0.2">
      <c r="A29" s="2"/>
      <c r="B29" s="21"/>
      <c r="C29" s="14"/>
      <c r="D29" s="14"/>
      <c r="E29" s="14"/>
      <c r="F29" s="13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6"/>
      <c r="Z29" s="14"/>
      <c r="AA29" s="14"/>
      <c r="AB29" s="14"/>
      <c r="AC29" s="14"/>
      <c r="AD29" s="14"/>
      <c r="AE29" s="14"/>
      <c r="AF29" s="16"/>
      <c r="AG29" s="14"/>
      <c r="AH29" s="14"/>
      <c r="AI29" s="14"/>
      <c r="AJ29" s="22"/>
    </row>
    <row r="30" spans="1:36" x14ac:dyDescent="0.2">
      <c r="A30" s="2"/>
      <c r="B30" s="21"/>
      <c r="C30" s="14"/>
      <c r="D30" s="14"/>
      <c r="E30" s="14"/>
      <c r="F30" s="13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22"/>
    </row>
    <row r="31" spans="1:36" x14ac:dyDescent="0.25">
      <c r="A31" s="2"/>
      <c r="B31" s="21"/>
      <c r="C31" s="14"/>
      <c r="D31" s="14"/>
      <c r="E31" s="14"/>
      <c r="F31" s="13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22"/>
    </row>
    <row r="32" spans="1:36" x14ac:dyDescent="0.25">
      <c r="A32" s="2"/>
      <c r="B32" s="21"/>
      <c r="C32" s="14"/>
      <c r="D32" s="14"/>
      <c r="E32" s="14"/>
      <c r="F32" s="13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22"/>
    </row>
    <row r="33" spans="1:36" x14ac:dyDescent="0.25">
      <c r="A33" s="2"/>
      <c r="B33" s="21"/>
      <c r="C33" s="14"/>
      <c r="D33" s="14"/>
      <c r="E33" s="14"/>
      <c r="F33" s="13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22"/>
    </row>
    <row r="34" spans="1:36" x14ac:dyDescent="0.25">
      <c r="A34" s="2"/>
      <c r="B34" s="21"/>
      <c r="C34" s="14"/>
      <c r="D34" s="14"/>
      <c r="E34" s="14"/>
      <c r="F34" s="13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239">
        <f>G12/Y20</f>
        <v>2.2000000000000002</v>
      </c>
      <c r="Z34" s="239"/>
      <c r="AA34" s="27" t="s">
        <v>2</v>
      </c>
      <c r="AB34" s="14"/>
      <c r="AC34" s="14"/>
      <c r="AD34" s="14"/>
      <c r="AE34" s="7"/>
      <c r="AF34" s="239">
        <f>N6-Y34</f>
        <v>5.8</v>
      </c>
      <c r="AG34" s="239"/>
      <c r="AH34" s="41" t="s">
        <v>2</v>
      </c>
      <c r="AI34" s="14"/>
      <c r="AJ34" s="22"/>
    </row>
    <row r="35" spans="1:36" x14ac:dyDescent="0.25">
      <c r="A35" s="2"/>
      <c r="B35" s="21"/>
      <c r="C35" s="14"/>
      <c r="D35" s="14"/>
      <c r="E35" s="14"/>
      <c r="F35" s="13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22"/>
    </row>
    <row r="36" spans="1:36" x14ac:dyDescent="0.25">
      <c r="A36" s="2"/>
      <c r="B36" s="21"/>
      <c r="C36" s="14"/>
      <c r="D36" s="14"/>
      <c r="E36" s="14"/>
      <c r="F36" s="13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22"/>
    </row>
    <row r="37" spans="1:36" x14ac:dyDescent="0.25">
      <c r="A37" s="2"/>
      <c r="B37" s="21"/>
      <c r="C37" s="14"/>
      <c r="D37" s="14"/>
      <c r="E37" s="14"/>
      <c r="F37" s="13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22"/>
    </row>
    <row r="38" spans="1:36" x14ac:dyDescent="0.25">
      <c r="A38" s="2"/>
      <c r="B38" s="21"/>
      <c r="C38" s="14"/>
      <c r="D38" s="14"/>
      <c r="E38" s="14"/>
      <c r="F38" s="13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22"/>
    </row>
    <row r="39" spans="1:36" x14ac:dyDescent="0.25">
      <c r="A39" s="2"/>
      <c r="B39" s="21"/>
      <c r="C39" s="14"/>
      <c r="D39" s="14"/>
      <c r="E39" s="14"/>
      <c r="F39" s="13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6"/>
      <c r="Z39" s="14"/>
      <c r="AA39" s="14"/>
      <c r="AB39" s="14"/>
      <c r="AC39" s="14"/>
      <c r="AD39" s="14"/>
      <c r="AE39" s="14"/>
      <c r="AF39" s="16"/>
      <c r="AG39" s="14"/>
      <c r="AH39" s="14"/>
      <c r="AI39" s="14"/>
      <c r="AJ39" s="22"/>
    </row>
    <row r="40" spans="1:36" x14ac:dyDescent="0.25">
      <c r="A40" s="2"/>
      <c r="B40" s="21"/>
      <c r="C40" s="14"/>
      <c r="D40" s="14"/>
      <c r="E40" s="14"/>
      <c r="F40" s="13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6"/>
      <c r="Z40" s="14"/>
      <c r="AA40" s="14"/>
      <c r="AB40" s="14"/>
      <c r="AC40" s="14"/>
      <c r="AD40" s="14"/>
      <c r="AE40" s="14"/>
      <c r="AF40" s="16"/>
      <c r="AG40" s="14"/>
      <c r="AH40" s="14"/>
      <c r="AI40" s="14"/>
      <c r="AJ40" s="22"/>
    </row>
    <row r="41" spans="1:36" x14ac:dyDescent="0.25">
      <c r="A41" s="2"/>
      <c r="B41" s="21"/>
      <c r="C41" s="14"/>
      <c r="D41" s="14"/>
      <c r="E41" s="14"/>
      <c r="F41" s="13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6"/>
      <c r="Z41" s="14"/>
      <c r="AA41" s="14"/>
      <c r="AB41" s="14"/>
      <c r="AC41" s="14"/>
      <c r="AD41" s="14"/>
      <c r="AE41" s="14"/>
      <c r="AF41" s="16"/>
      <c r="AG41" s="14"/>
      <c r="AH41" s="14"/>
      <c r="AI41" s="14"/>
      <c r="AJ41" s="22"/>
    </row>
    <row r="42" spans="1:36" x14ac:dyDescent="0.25">
      <c r="A42" s="2"/>
      <c r="B42" s="21"/>
      <c r="C42" s="14"/>
      <c r="D42" s="14"/>
      <c r="E42" s="14"/>
      <c r="F42" s="13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6"/>
      <c r="Z42" s="14"/>
      <c r="AA42" s="14"/>
      <c r="AB42" s="14"/>
      <c r="AC42" s="14"/>
      <c r="AD42" s="14"/>
      <c r="AE42" s="14"/>
      <c r="AF42" s="16"/>
      <c r="AG42" s="14"/>
      <c r="AH42" s="14"/>
      <c r="AI42" s="14"/>
      <c r="AJ42" s="22"/>
    </row>
    <row r="43" spans="1:36" x14ac:dyDescent="0.25">
      <c r="A43" s="2"/>
      <c r="B43" s="21"/>
      <c r="C43" s="14"/>
      <c r="D43" s="14"/>
      <c r="E43" s="14"/>
      <c r="F43" s="13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6"/>
      <c r="Z43" s="14"/>
      <c r="AA43" s="14"/>
      <c r="AB43" s="14"/>
      <c r="AC43" s="14"/>
      <c r="AD43" s="14"/>
      <c r="AE43" s="14"/>
      <c r="AF43" s="16"/>
      <c r="AG43" s="14"/>
      <c r="AH43" s="14"/>
      <c r="AI43" s="14"/>
      <c r="AJ43" s="22"/>
    </row>
    <row r="44" spans="1:36" x14ac:dyDescent="0.25">
      <c r="A44" s="2"/>
      <c r="B44" s="21"/>
      <c r="C44" s="14"/>
      <c r="D44" s="14"/>
      <c r="E44" s="14"/>
      <c r="F44" s="17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2"/>
      <c r="Z44" s="17"/>
      <c r="AA44" s="11"/>
      <c r="AB44" s="11"/>
      <c r="AC44" s="11"/>
      <c r="AD44" s="11"/>
      <c r="AE44" s="11"/>
      <c r="AF44" s="12"/>
      <c r="AG44" s="14"/>
      <c r="AH44" s="14"/>
      <c r="AI44" s="14"/>
      <c r="AJ44" s="22"/>
    </row>
    <row r="45" spans="1:36" x14ac:dyDescent="0.25">
      <c r="A45" s="2"/>
      <c r="B45" s="21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22"/>
    </row>
    <row r="46" spans="1:36" ht="15.6" thickBot="1" x14ac:dyDescent="0.3">
      <c r="A46" s="2"/>
      <c r="B46" s="24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6"/>
    </row>
    <row r="47" spans="1:36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6" ht="15.6" thickBo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44" x14ac:dyDescent="0.25">
      <c r="A49" s="2"/>
      <c r="B49" s="18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20"/>
    </row>
    <row r="50" spans="1:44" x14ac:dyDescent="0.25">
      <c r="B50" s="21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22"/>
    </row>
    <row r="51" spans="1:44" x14ac:dyDescent="0.25">
      <c r="B51" s="2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22"/>
    </row>
    <row r="52" spans="1:44" x14ac:dyDescent="0.25">
      <c r="B52" s="21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22"/>
    </row>
    <row r="53" spans="1:44" x14ac:dyDescent="0.25">
      <c r="B53" s="21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22"/>
    </row>
    <row r="54" spans="1:44" x14ac:dyDescent="0.25">
      <c r="B54" s="21"/>
      <c r="C54" s="14"/>
      <c r="D54" s="14"/>
      <c r="E54" s="14"/>
      <c r="F54" s="11"/>
      <c r="G54" s="11"/>
      <c r="H54" s="80"/>
      <c r="I54" s="80"/>
      <c r="J54" s="239">
        <f>V54+O80</f>
        <v>4.4007155635062613E-2</v>
      </c>
      <c r="K54" s="239"/>
      <c r="L54" s="79" t="s">
        <v>2</v>
      </c>
      <c r="M54" s="14"/>
      <c r="N54" s="14"/>
      <c r="O54" s="14"/>
      <c r="P54" s="14"/>
      <c r="Q54" s="14"/>
      <c r="R54" s="14"/>
      <c r="S54" s="14"/>
      <c r="T54" s="14"/>
      <c r="U54" s="14"/>
      <c r="V54" s="239">
        <f>G75/(AC66+AC94)</f>
        <v>2.0930232558139535E-2</v>
      </c>
      <c r="W54" s="239"/>
      <c r="X54" s="27" t="s">
        <v>2</v>
      </c>
      <c r="Y54" s="14"/>
      <c r="Z54" s="11"/>
      <c r="AA54" s="11"/>
      <c r="AB54" s="11"/>
      <c r="AC54" s="11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22"/>
    </row>
    <row r="55" spans="1:44" x14ac:dyDescent="0.25">
      <c r="B55" s="21"/>
      <c r="C55" s="14"/>
      <c r="D55" s="14"/>
      <c r="E55" s="14"/>
      <c r="F55" s="8"/>
      <c r="G55" s="14"/>
      <c r="H55" s="14"/>
      <c r="I55" s="14"/>
      <c r="J55" s="14"/>
      <c r="K55" s="14"/>
      <c r="L55" s="14"/>
      <c r="M55" s="14"/>
      <c r="N55" s="9"/>
      <c r="O55" s="9"/>
      <c r="P55" s="8"/>
      <c r="Q55" s="9"/>
      <c r="R55" s="9"/>
      <c r="S55" s="9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3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22"/>
    </row>
    <row r="56" spans="1:44" x14ac:dyDescent="0.25">
      <c r="B56" s="21"/>
      <c r="C56" s="14"/>
      <c r="D56" s="14"/>
      <c r="E56" s="14"/>
      <c r="F56" s="13"/>
      <c r="G56" s="14"/>
      <c r="H56" s="14"/>
      <c r="I56" s="14"/>
      <c r="J56" s="14"/>
      <c r="K56" s="14"/>
      <c r="L56" s="14"/>
      <c r="M56" s="14"/>
      <c r="N56" s="14"/>
      <c r="O56" s="14"/>
      <c r="P56" s="13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3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22"/>
    </row>
    <row r="57" spans="1:44" x14ac:dyDescent="0.25">
      <c r="B57" s="21"/>
      <c r="C57" s="14"/>
      <c r="D57" s="14"/>
      <c r="E57" s="14"/>
      <c r="F57" s="13"/>
      <c r="G57" s="14"/>
      <c r="H57" s="14"/>
      <c r="I57" s="14"/>
      <c r="J57" s="14"/>
      <c r="K57" s="14"/>
      <c r="L57" s="14"/>
      <c r="M57" s="14"/>
      <c r="N57" s="14"/>
      <c r="O57" s="14"/>
      <c r="P57" s="13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3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22"/>
    </row>
    <row r="58" spans="1:44" x14ac:dyDescent="0.25">
      <c r="B58" s="21"/>
      <c r="C58" s="14"/>
      <c r="D58" s="14"/>
      <c r="E58" s="14"/>
      <c r="F58" s="13"/>
      <c r="G58" s="14"/>
      <c r="H58" s="14"/>
      <c r="I58" s="14"/>
      <c r="J58" s="14"/>
      <c r="K58" s="14"/>
      <c r="L58" s="14"/>
      <c r="M58" s="14"/>
      <c r="N58" s="14"/>
      <c r="O58" s="14"/>
      <c r="P58" s="13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3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22"/>
    </row>
    <row r="59" spans="1:44" x14ac:dyDescent="0.25">
      <c r="B59" s="21"/>
      <c r="C59" s="14"/>
      <c r="D59" s="14"/>
      <c r="E59" s="14"/>
      <c r="F59" s="13"/>
      <c r="G59" s="14"/>
      <c r="H59" s="14"/>
      <c r="I59" s="14"/>
      <c r="J59" s="14"/>
      <c r="K59" s="14"/>
      <c r="L59" s="14"/>
      <c r="M59" s="14"/>
      <c r="N59" s="14"/>
      <c r="O59" s="14"/>
      <c r="P59" s="13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3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22"/>
    </row>
    <row r="60" spans="1:44" x14ac:dyDescent="0.25">
      <c r="B60" s="21"/>
      <c r="C60" s="14"/>
      <c r="D60" s="14"/>
      <c r="E60" s="14"/>
      <c r="F60" s="13"/>
      <c r="G60" s="14"/>
      <c r="H60" s="14"/>
      <c r="I60" s="14"/>
      <c r="J60" s="14"/>
      <c r="K60" s="14"/>
      <c r="L60" s="14"/>
      <c r="M60" s="14"/>
      <c r="N60" s="14"/>
      <c r="O60" s="14"/>
      <c r="P60" s="17"/>
      <c r="Q60" s="11"/>
      <c r="R60" s="11"/>
      <c r="S60" s="11"/>
      <c r="T60" s="11"/>
      <c r="U60" s="11"/>
      <c r="V60" s="11"/>
      <c r="W60" s="14"/>
      <c r="X60" s="14"/>
      <c r="Y60" s="14"/>
      <c r="Z60" s="14"/>
      <c r="AA60" s="14"/>
      <c r="AB60" s="14"/>
      <c r="AC60" s="14"/>
      <c r="AD60" s="17"/>
      <c r="AE60" s="11"/>
      <c r="AF60" s="11"/>
      <c r="AG60" s="11"/>
      <c r="AH60" s="11"/>
      <c r="AI60" s="11"/>
      <c r="AJ60" s="11"/>
      <c r="AK60" s="14"/>
      <c r="AL60" s="14"/>
      <c r="AM60" s="14"/>
      <c r="AN60" s="14"/>
      <c r="AO60" s="14"/>
      <c r="AP60" s="14"/>
      <c r="AQ60" s="14"/>
      <c r="AR60" s="22"/>
    </row>
    <row r="61" spans="1:44" x14ac:dyDescent="0.25">
      <c r="B61" s="21"/>
      <c r="C61" s="14"/>
      <c r="D61" s="14"/>
      <c r="E61" s="14"/>
      <c r="F61" s="13"/>
      <c r="G61" s="14"/>
      <c r="H61" s="14"/>
      <c r="I61" s="14"/>
      <c r="J61" s="14"/>
      <c r="K61" s="14"/>
      <c r="L61" s="14"/>
      <c r="M61" s="14"/>
      <c r="N61" s="11"/>
      <c r="O61" s="11"/>
      <c r="P61" s="17"/>
      <c r="Q61" s="11"/>
      <c r="R61" s="14"/>
      <c r="S61" s="14"/>
      <c r="T61" s="14"/>
      <c r="U61" s="14"/>
      <c r="V61" s="14"/>
      <c r="W61" s="13"/>
      <c r="X61" s="14"/>
      <c r="Y61" s="14"/>
      <c r="Z61" s="14"/>
      <c r="AA61" s="14"/>
      <c r="AB61" s="11"/>
      <c r="AC61" s="11"/>
      <c r="AD61" s="17"/>
      <c r="AE61" s="11"/>
      <c r="AF61" s="14"/>
      <c r="AG61" s="14"/>
      <c r="AH61" s="14"/>
      <c r="AI61" s="14"/>
      <c r="AJ61" s="14"/>
      <c r="AK61" s="13"/>
      <c r="AL61" s="14"/>
      <c r="AM61" s="14"/>
      <c r="AN61" s="14"/>
      <c r="AO61" s="14"/>
      <c r="AP61" s="14"/>
      <c r="AQ61" s="14"/>
      <c r="AR61" s="22"/>
    </row>
    <row r="62" spans="1:44" x14ac:dyDescent="0.25">
      <c r="B62" s="21"/>
      <c r="C62" s="14"/>
      <c r="D62" s="14"/>
      <c r="E62" s="14"/>
      <c r="F62" s="13"/>
      <c r="G62" s="14"/>
      <c r="H62" s="14"/>
      <c r="I62" s="14"/>
      <c r="J62" s="14"/>
      <c r="K62" s="14"/>
      <c r="L62" s="14"/>
      <c r="M62" s="14"/>
      <c r="N62" s="97"/>
      <c r="O62" s="98"/>
      <c r="P62" s="98"/>
      <c r="Q62" s="99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97"/>
      <c r="AC62" s="98"/>
      <c r="AD62" s="98"/>
      <c r="AE62" s="99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22"/>
    </row>
    <row r="63" spans="1:44" x14ac:dyDescent="0.25">
      <c r="B63" s="21"/>
      <c r="C63" s="14"/>
      <c r="D63" s="14"/>
      <c r="E63" s="14"/>
      <c r="F63" s="13"/>
      <c r="G63" s="14"/>
      <c r="H63" s="14"/>
      <c r="I63" s="14"/>
      <c r="J63" s="14"/>
      <c r="K63" s="14"/>
      <c r="L63" s="14"/>
      <c r="M63" s="14"/>
      <c r="N63" s="100"/>
      <c r="O63" s="84"/>
      <c r="P63" s="84"/>
      <c r="Q63" s="102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00"/>
      <c r="AC63" s="84"/>
      <c r="AD63" s="84"/>
      <c r="AE63" s="102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22"/>
    </row>
    <row r="64" spans="1:44" x14ac:dyDescent="0.25">
      <c r="B64" s="21"/>
      <c r="C64" s="14"/>
      <c r="D64" s="14"/>
      <c r="E64" s="14"/>
      <c r="F64" s="13"/>
      <c r="G64" s="14"/>
      <c r="H64" s="14"/>
      <c r="I64" s="14"/>
      <c r="J64" s="14"/>
      <c r="K64" s="14"/>
      <c r="L64" s="14"/>
      <c r="M64" s="14"/>
      <c r="N64" s="100"/>
      <c r="O64" s="84"/>
      <c r="P64" s="84"/>
      <c r="Q64" s="102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00"/>
      <c r="AC64" s="84"/>
      <c r="AD64" s="84"/>
      <c r="AE64" s="102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22"/>
    </row>
    <row r="65" spans="2:44" x14ac:dyDescent="0.25">
      <c r="B65" s="21"/>
      <c r="C65" s="14"/>
      <c r="D65" s="14"/>
      <c r="E65" s="14"/>
      <c r="F65" s="13"/>
      <c r="G65" s="14"/>
      <c r="H65" s="14"/>
      <c r="I65" s="14"/>
      <c r="J65" s="14"/>
      <c r="K65" s="14"/>
      <c r="L65" s="14"/>
      <c r="M65" s="14"/>
      <c r="N65" s="100"/>
      <c r="O65" s="84"/>
      <c r="P65" s="84"/>
      <c r="Q65" s="102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00"/>
      <c r="AC65" s="84"/>
      <c r="AD65" s="84"/>
      <c r="AE65" s="102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22"/>
    </row>
    <row r="66" spans="2:44" x14ac:dyDescent="0.25">
      <c r="B66" s="78"/>
      <c r="C66" s="14"/>
      <c r="D66" s="14"/>
      <c r="E66" s="14"/>
      <c r="F66" s="13"/>
      <c r="G66" s="14"/>
      <c r="H66" s="14"/>
      <c r="I66" s="14"/>
      <c r="J66" s="14"/>
      <c r="K66" s="14"/>
      <c r="L66" s="2"/>
      <c r="M66" s="14"/>
      <c r="N66" s="100"/>
      <c r="O66" s="238">
        <v>270</v>
      </c>
      <c r="P66" s="238"/>
      <c r="Q66" s="170" t="s">
        <v>1</v>
      </c>
      <c r="R66" s="14"/>
      <c r="S66" s="14"/>
      <c r="T66" s="14"/>
      <c r="U66" s="14"/>
      <c r="V66" s="239">
        <f>O66/(O66+O94)*G75</f>
        <v>6.2307692307692308</v>
      </c>
      <c r="W66" s="239"/>
      <c r="X66" s="27" t="s">
        <v>0</v>
      </c>
      <c r="Y66" s="14"/>
      <c r="Z66" s="14"/>
      <c r="AA66" s="14"/>
      <c r="AB66" s="100"/>
      <c r="AC66" s="238">
        <v>180</v>
      </c>
      <c r="AD66" s="238"/>
      <c r="AE66" s="170" t="s">
        <v>1</v>
      </c>
      <c r="AF66" s="14"/>
      <c r="AG66" s="2"/>
      <c r="AH66" s="14"/>
      <c r="AI66" s="14"/>
      <c r="AJ66" s="239">
        <f>AC66/(AC66+AC94)*G75</f>
        <v>3.7674418604651163</v>
      </c>
      <c r="AK66" s="239"/>
      <c r="AL66" s="27" t="s">
        <v>0</v>
      </c>
      <c r="AM66" s="14"/>
      <c r="AN66" s="14"/>
      <c r="AO66" s="14"/>
      <c r="AP66" s="14"/>
      <c r="AQ66" s="14"/>
      <c r="AR66" s="22"/>
    </row>
    <row r="67" spans="2:44" x14ac:dyDescent="0.25">
      <c r="B67" s="21"/>
      <c r="C67" s="14"/>
      <c r="D67" s="14"/>
      <c r="E67" s="14"/>
      <c r="F67" s="13"/>
      <c r="G67" s="14"/>
      <c r="H67" s="14"/>
      <c r="I67" s="14"/>
      <c r="J67" s="14"/>
      <c r="K67" s="14"/>
      <c r="L67" s="14"/>
      <c r="M67" s="14"/>
      <c r="N67" s="100"/>
      <c r="O67" s="84"/>
      <c r="P67" s="84"/>
      <c r="Q67" s="102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00"/>
      <c r="AC67" s="84"/>
      <c r="AD67" s="84"/>
      <c r="AE67" s="102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22"/>
    </row>
    <row r="68" spans="2:44" x14ac:dyDescent="0.25">
      <c r="B68" s="21"/>
      <c r="C68" s="14"/>
      <c r="D68" s="14"/>
      <c r="E68" s="14"/>
      <c r="F68" s="13"/>
      <c r="G68" s="14"/>
      <c r="H68" s="14"/>
      <c r="I68" s="14"/>
      <c r="J68" s="14"/>
      <c r="K68" s="14"/>
      <c r="L68" s="14"/>
      <c r="M68" s="14"/>
      <c r="N68" s="100"/>
      <c r="O68" s="84"/>
      <c r="P68" s="84"/>
      <c r="Q68" s="102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00"/>
      <c r="AC68" s="84"/>
      <c r="AD68" s="84"/>
      <c r="AE68" s="102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22"/>
    </row>
    <row r="69" spans="2:44" x14ac:dyDescent="0.25">
      <c r="B69" s="21"/>
      <c r="C69" s="14"/>
      <c r="D69" s="14"/>
      <c r="E69" s="14"/>
      <c r="F69" s="13"/>
      <c r="G69" s="14"/>
      <c r="H69" s="14"/>
      <c r="I69" s="14"/>
      <c r="J69" s="14"/>
      <c r="K69" s="14"/>
      <c r="L69" s="14"/>
      <c r="M69" s="14"/>
      <c r="N69" s="100"/>
      <c r="O69" s="84"/>
      <c r="P69" s="84"/>
      <c r="Q69" s="102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00"/>
      <c r="AC69" s="84"/>
      <c r="AD69" s="84"/>
      <c r="AE69" s="102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22"/>
    </row>
    <row r="70" spans="2:44" x14ac:dyDescent="0.25">
      <c r="B70" s="21"/>
      <c r="C70" s="14"/>
      <c r="D70" s="14"/>
      <c r="E70" s="14"/>
      <c r="F70" s="13"/>
      <c r="G70" s="14"/>
      <c r="H70" s="14"/>
      <c r="I70" s="14"/>
      <c r="J70" s="14"/>
      <c r="K70" s="14"/>
      <c r="L70" s="14"/>
      <c r="M70" s="14"/>
      <c r="N70" s="103"/>
      <c r="O70" s="104"/>
      <c r="P70" s="104"/>
      <c r="Q70" s="105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03"/>
      <c r="AC70" s="104"/>
      <c r="AD70" s="104"/>
      <c r="AE70" s="105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22"/>
    </row>
    <row r="71" spans="2:44" x14ac:dyDescent="0.25">
      <c r="B71" s="21"/>
      <c r="C71" s="14"/>
      <c r="D71" s="14"/>
      <c r="E71" s="14"/>
      <c r="F71" s="13"/>
      <c r="G71" s="14"/>
      <c r="H71" s="14"/>
      <c r="I71" s="14"/>
      <c r="J71" s="14"/>
      <c r="K71" s="14"/>
      <c r="L71" s="14"/>
      <c r="M71" s="14"/>
      <c r="N71" s="14"/>
      <c r="O71" s="10"/>
      <c r="P71" s="13"/>
      <c r="Q71" s="14"/>
      <c r="R71" s="14"/>
      <c r="S71" s="14"/>
      <c r="T71" s="14"/>
      <c r="U71" s="14"/>
      <c r="V71" s="14"/>
      <c r="W71" s="13"/>
      <c r="X71" s="14"/>
      <c r="Y71" s="14"/>
      <c r="Z71" s="14"/>
      <c r="AA71" s="14"/>
      <c r="AB71" s="14"/>
      <c r="AC71" s="10"/>
      <c r="AD71" s="13"/>
      <c r="AE71" s="14"/>
      <c r="AF71" s="14"/>
      <c r="AG71" s="14"/>
      <c r="AH71" s="14"/>
      <c r="AI71" s="14"/>
      <c r="AJ71" s="16"/>
      <c r="AK71" s="13"/>
      <c r="AL71" s="14"/>
      <c r="AM71" s="14"/>
      <c r="AN71" s="14"/>
      <c r="AO71" s="14"/>
      <c r="AP71" s="14"/>
      <c r="AQ71" s="14"/>
      <c r="AR71" s="22"/>
    </row>
    <row r="72" spans="2:44" x14ac:dyDescent="0.25">
      <c r="B72" s="21"/>
      <c r="C72" s="14"/>
      <c r="D72" s="14"/>
      <c r="E72" s="14"/>
      <c r="F72" s="13"/>
      <c r="G72" s="14"/>
      <c r="H72" s="14"/>
      <c r="I72" s="14"/>
      <c r="J72" s="14"/>
      <c r="K72" s="14"/>
      <c r="L72" s="14"/>
      <c r="M72" s="14"/>
      <c r="N72" s="14"/>
      <c r="O72" s="14"/>
      <c r="P72" s="13"/>
      <c r="Q72" s="14"/>
      <c r="R72" s="14"/>
      <c r="S72" s="14"/>
      <c r="T72" s="14"/>
      <c r="U72" s="14"/>
      <c r="V72" s="14"/>
      <c r="W72" s="13"/>
      <c r="X72" s="14"/>
      <c r="Y72" s="14"/>
      <c r="Z72" s="14"/>
      <c r="AA72" s="14"/>
      <c r="AB72" s="14"/>
      <c r="AC72" s="14"/>
      <c r="AD72" s="13"/>
      <c r="AE72" s="14"/>
      <c r="AF72" s="14"/>
      <c r="AG72" s="14"/>
      <c r="AH72" s="14"/>
      <c r="AI72" s="14"/>
      <c r="AJ72" s="14"/>
      <c r="AK72" s="13"/>
      <c r="AL72" s="14"/>
      <c r="AM72" s="14"/>
      <c r="AN72" s="14"/>
      <c r="AO72" s="14"/>
      <c r="AP72" s="14"/>
      <c r="AQ72" s="14"/>
      <c r="AR72" s="22"/>
    </row>
    <row r="73" spans="2:44" x14ac:dyDescent="0.25">
      <c r="B73" s="21"/>
      <c r="C73" s="14"/>
      <c r="D73" s="14"/>
      <c r="E73" s="14"/>
      <c r="F73" s="13"/>
      <c r="G73" s="14"/>
      <c r="H73" s="14"/>
      <c r="I73" s="14"/>
      <c r="J73" s="14"/>
      <c r="K73" s="14"/>
      <c r="L73" s="14"/>
      <c r="M73" s="14"/>
      <c r="N73" s="14"/>
      <c r="O73" s="14"/>
      <c r="P73" s="17"/>
      <c r="Q73" s="11"/>
      <c r="R73" s="11"/>
      <c r="S73" s="11"/>
      <c r="T73" s="11"/>
      <c r="U73" s="11"/>
      <c r="V73" s="11"/>
      <c r="W73" s="17"/>
      <c r="X73" s="11"/>
      <c r="Y73" s="11"/>
      <c r="Z73" s="11"/>
      <c r="AA73" s="11"/>
      <c r="AB73" s="11"/>
      <c r="AC73" s="11"/>
      <c r="AD73" s="13"/>
      <c r="AE73" s="14"/>
      <c r="AF73" s="14"/>
      <c r="AG73" s="14"/>
      <c r="AH73" s="14"/>
      <c r="AI73" s="14"/>
      <c r="AJ73" s="16"/>
      <c r="AK73" s="14"/>
      <c r="AL73" s="14"/>
      <c r="AM73" s="14"/>
      <c r="AN73" s="14"/>
      <c r="AO73" s="14"/>
      <c r="AP73" s="14"/>
      <c r="AQ73" s="14"/>
      <c r="AR73" s="22"/>
    </row>
    <row r="74" spans="2:44" x14ac:dyDescent="0.25">
      <c r="B74" s="21"/>
      <c r="C74" s="14"/>
      <c r="D74" s="14"/>
      <c r="E74" s="14"/>
      <c r="F74" s="13"/>
      <c r="G74" s="14"/>
      <c r="H74" s="14"/>
      <c r="I74" s="14"/>
      <c r="J74" s="14"/>
      <c r="K74" s="14"/>
      <c r="L74" s="14"/>
      <c r="M74" s="14"/>
      <c r="N74" s="14"/>
      <c r="O74" s="14"/>
      <c r="P74" s="13"/>
      <c r="Q74" s="14"/>
      <c r="R74" s="14"/>
      <c r="S74" s="14"/>
      <c r="T74" s="14"/>
      <c r="U74" s="14"/>
      <c r="V74" s="14"/>
      <c r="W74" s="13"/>
      <c r="X74" s="14"/>
      <c r="Y74" s="14"/>
      <c r="Z74" s="14"/>
      <c r="AA74" s="14"/>
      <c r="AB74" s="14"/>
      <c r="AC74" s="14"/>
      <c r="AD74" s="8"/>
      <c r="AE74" s="9"/>
      <c r="AF74" s="9"/>
      <c r="AG74" s="9"/>
      <c r="AH74" s="9"/>
      <c r="AI74" s="9"/>
      <c r="AJ74" s="10"/>
      <c r="AK74" s="9"/>
      <c r="AL74" s="9"/>
      <c r="AM74" s="9"/>
      <c r="AN74" s="10"/>
      <c r="AO74" s="14"/>
      <c r="AP74" s="14"/>
      <c r="AQ74" s="14"/>
      <c r="AR74" s="22"/>
    </row>
    <row r="75" spans="2:44" x14ac:dyDescent="0.25">
      <c r="B75" s="21"/>
      <c r="C75" s="14"/>
      <c r="D75" s="14"/>
      <c r="E75" s="14"/>
      <c r="F75" s="13"/>
      <c r="G75" s="238">
        <v>18</v>
      </c>
      <c r="H75" s="238"/>
      <c r="I75" s="23" t="s">
        <v>0</v>
      </c>
      <c r="J75" s="14"/>
      <c r="K75" s="14"/>
      <c r="L75" s="14"/>
      <c r="M75" s="14"/>
      <c r="N75" s="14"/>
      <c r="O75" s="14"/>
      <c r="P75" s="13"/>
      <c r="Q75" s="14"/>
      <c r="R75" s="14"/>
      <c r="S75" s="14"/>
      <c r="T75" s="14"/>
      <c r="U75" s="14"/>
      <c r="V75" s="14"/>
      <c r="W75" s="13"/>
      <c r="X75" s="14"/>
      <c r="Y75" s="14"/>
      <c r="Z75" s="14"/>
      <c r="AA75" s="14"/>
      <c r="AB75" s="14"/>
      <c r="AC75" s="14"/>
      <c r="AD75" s="13"/>
      <c r="AE75" s="14"/>
      <c r="AF75" s="14"/>
      <c r="AG75" s="14"/>
      <c r="AH75" s="14"/>
      <c r="AI75" s="14"/>
      <c r="AJ75" s="16"/>
      <c r="AK75" s="14"/>
      <c r="AL75" s="14"/>
      <c r="AM75" s="14"/>
      <c r="AN75" s="16"/>
      <c r="AO75" s="14"/>
      <c r="AP75" s="14"/>
      <c r="AQ75" s="14"/>
      <c r="AR75" s="22"/>
    </row>
    <row r="76" spans="2:44" x14ac:dyDescent="0.25">
      <c r="B76" s="21"/>
      <c r="C76" s="14"/>
      <c r="D76" s="14"/>
      <c r="E76" s="14"/>
      <c r="F76" s="13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3"/>
      <c r="X76" s="14"/>
      <c r="Y76" s="14"/>
      <c r="Z76" s="14"/>
      <c r="AA76" s="14"/>
      <c r="AB76" s="14"/>
      <c r="AC76" s="14"/>
      <c r="AD76" s="13"/>
      <c r="AE76" s="14"/>
      <c r="AF76" s="14"/>
      <c r="AG76" s="14"/>
      <c r="AH76" s="14"/>
      <c r="AI76" s="14"/>
      <c r="AJ76" s="16"/>
      <c r="AK76" s="14"/>
      <c r="AL76" s="14"/>
      <c r="AM76" s="14"/>
      <c r="AN76" s="14"/>
      <c r="AO76" s="14"/>
      <c r="AP76" s="14"/>
      <c r="AQ76" s="14"/>
      <c r="AR76" s="22"/>
    </row>
    <row r="77" spans="2:44" x14ac:dyDescent="0.25">
      <c r="B77" s="21"/>
      <c r="C77" s="11"/>
      <c r="D77" s="11"/>
      <c r="E77" s="11"/>
      <c r="F77" s="17"/>
      <c r="G77" s="11"/>
      <c r="H77" s="11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3"/>
      <c r="X77" s="14"/>
      <c r="Y77" s="14"/>
      <c r="Z77" s="14"/>
      <c r="AA77" s="14"/>
      <c r="AB77" s="14"/>
      <c r="AC77" s="14"/>
      <c r="AD77" s="13"/>
      <c r="AE77" s="14"/>
      <c r="AF77" s="14"/>
      <c r="AG77" s="14"/>
      <c r="AH77" s="14"/>
      <c r="AI77" s="14"/>
      <c r="AJ77" s="16"/>
      <c r="AK77" s="14"/>
      <c r="AL77" s="14"/>
      <c r="AM77" s="14"/>
      <c r="AN77" s="14"/>
      <c r="AO77" s="14"/>
      <c r="AP77" s="14"/>
      <c r="AQ77" s="14"/>
      <c r="AR77" s="22"/>
    </row>
    <row r="78" spans="2:44" x14ac:dyDescent="0.25">
      <c r="B78" s="21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3"/>
      <c r="X78" s="14"/>
      <c r="Y78" s="14"/>
      <c r="Z78" s="14"/>
      <c r="AA78" s="14"/>
      <c r="AB78" s="14"/>
      <c r="AC78" s="14"/>
      <c r="AD78" s="13"/>
      <c r="AE78" s="14"/>
      <c r="AF78" s="14"/>
      <c r="AG78" s="14"/>
      <c r="AH78" s="14"/>
      <c r="AI78" s="14"/>
      <c r="AJ78" s="16"/>
      <c r="AK78" s="14"/>
      <c r="AL78" s="14"/>
      <c r="AM78" s="14"/>
      <c r="AN78" s="14"/>
      <c r="AO78" s="14"/>
      <c r="AP78" s="14"/>
      <c r="AQ78" s="14"/>
      <c r="AR78" s="22"/>
    </row>
    <row r="79" spans="2:44" x14ac:dyDescent="0.25">
      <c r="B79" s="21"/>
      <c r="C79" s="14"/>
      <c r="D79" s="3"/>
      <c r="E79" s="4"/>
      <c r="F79" s="4"/>
      <c r="G79" s="5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3"/>
      <c r="X79" s="14"/>
      <c r="Y79" s="14"/>
      <c r="Z79" s="14"/>
      <c r="AA79" s="14"/>
      <c r="AB79" s="14"/>
      <c r="AC79" s="14"/>
      <c r="AD79" s="13"/>
      <c r="AE79" s="14"/>
      <c r="AF79" s="14"/>
      <c r="AG79" s="14"/>
      <c r="AH79" s="14"/>
      <c r="AI79" s="14"/>
      <c r="AJ79" s="16"/>
      <c r="AK79" s="14"/>
      <c r="AL79" s="14"/>
      <c r="AM79" s="14"/>
      <c r="AN79" s="14"/>
      <c r="AO79" s="14"/>
      <c r="AP79" s="14"/>
      <c r="AQ79" s="14"/>
      <c r="AR79" s="22"/>
    </row>
    <row r="80" spans="2:44" x14ac:dyDescent="0.25">
      <c r="B80" s="21"/>
      <c r="C80" s="11"/>
      <c r="D80" s="11"/>
      <c r="E80" s="11"/>
      <c r="F80" s="11"/>
      <c r="G80" s="11"/>
      <c r="H80" s="11"/>
      <c r="I80" s="14"/>
      <c r="J80" s="14"/>
      <c r="K80" s="14"/>
      <c r="L80" s="14"/>
      <c r="M80" s="14"/>
      <c r="N80" s="14"/>
      <c r="O80" s="239">
        <f>G75/(O66+O94)</f>
        <v>2.3076923076923078E-2</v>
      </c>
      <c r="P80" s="239"/>
      <c r="Q80" s="27" t="s">
        <v>2</v>
      </c>
      <c r="R80" s="14"/>
      <c r="S80" s="14"/>
      <c r="T80" s="14"/>
      <c r="U80" s="14"/>
      <c r="V80" s="14"/>
      <c r="W80" s="13"/>
      <c r="X80" s="14"/>
      <c r="Y80" s="14"/>
      <c r="Z80" s="14"/>
      <c r="AA80" s="14"/>
      <c r="AB80" s="14"/>
      <c r="AC80" s="14"/>
      <c r="AD80" s="17"/>
      <c r="AE80" s="11"/>
      <c r="AF80" s="11"/>
      <c r="AG80" s="11"/>
      <c r="AH80" s="11"/>
      <c r="AI80" s="11"/>
      <c r="AJ80" s="12"/>
      <c r="AK80" s="14"/>
      <c r="AL80" s="14"/>
      <c r="AM80" s="14"/>
      <c r="AN80" s="241">
        <f>G75-V66-AJ94</f>
        <v>-2.4633273703041141</v>
      </c>
      <c r="AO80" s="241"/>
      <c r="AP80" s="79" t="s">
        <v>0</v>
      </c>
      <c r="AQ80" s="14"/>
      <c r="AR80" s="22"/>
    </row>
    <row r="81" spans="2:44" x14ac:dyDescent="0.25">
      <c r="B81" s="21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3"/>
      <c r="X81" s="14"/>
      <c r="Y81" s="14"/>
      <c r="Z81" s="14"/>
      <c r="AA81" s="14"/>
      <c r="AB81" s="14"/>
      <c r="AC81" s="14"/>
      <c r="AD81" s="13"/>
      <c r="AE81" s="14"/>
      <c r="AF81" s="14"/>
      <c r="AG81" s="14"/>
      <c r="AH81" s="14"/>
      <c r="AI81" s="14"/>
      <c r="AJ81" s="16"/>
      <c r="AK81" s="14"/>
      <c r="AL81" s="14"/>
      <c r="AM81" s="14"/>
      <c r="AN81" s="14"/>
      <c r="AO81" s="14"/>
      <c r="AP81" s="14"/>
      <c r="AQ81" s="14"/>
      <c r="AR81" s="22"/>
    </row>
    <row r="82" spans="2:44" x14ac:dyDescent="0.25">
      <c r="B82" s="21"/>
      <c r="C82" s="14"/>
      <c r="D82" s="3"/>
      <c r="E82" s="4"/>
      <c r="F82" s="4"/>
      <c r="G82" s="5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3"/>
      <c r="X82" s="14"/>
      <c r="Y82" s="14"/>
      <c r="Z82" s="14"/>
      <c r="AA82" s="14"/>
      <c r="AB82" s="14"/>
      <c r="AC82" s="14"/>
      <c r="AD82" s="13"/>
      <c r="AE82" s="14"/>
      <c r="AF82" s="14"/>
      <c r="AG82" s="14"/>
      <c r="AH82" s="14"/>
      <c r="AI82" s="14"/>
      <c r="AJ82" s="16"/>
      <c r="AK82" s="14"/>
      <c r="AL82" s="14"/>
      <c r="AM82" s="14"/>
      <c r="AN82" s="14"/>
      <c r="AO82" s="14"/>
      <c r="AP82" s="14"/>
      <c r="AQ82" s="14"/>
      <c r="AR82" s="22"/>
    </row>
    <row r="83" spans="2:44" x14ac:dyDescent="0.25">
      <c r="B83" s="21"/>
      <c r="C83" s="11"/>
      <c r="D83" s="11"/>
      <c r="E83" s="11"/>
      <c r="F83" s="11"/>
      <c r="G83" s="11"/>
      <c r="H83" s="11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3"/>
      <c r="X83" s="14"/>
      <c r="Y83" s="14"/>
      <c r="Z83" s="14"/>
      <c r="AA83" s="14"/>
      <c r="AB83" s="14"/>
      <c r="AC83" s="14"/>
      <c r="AD83" s="13"/>
      <c r="AE83" s="14"/>
      <c r="AF83" s="14"/>
      <c r="AG83" s="14"/>
      <c r="AH83" s="14"/>
      <c r="AI83" s="14"/>
      <c r="AJ83" s="16"/>
      <c r="AK83" s="14"/>
      <c r="AL83" s="14"/>
      <c r="AM83" s="14"/>
      <c r="AN83" s="14"/>
      <c r="AO83" s="14"/>
      <c r="AP83" s="14"/>
      <c r="AQ83" s="14"/>
      <c r="AR83" s="22"/>
    </row>
    <row r="84" spans="2:44" x14ac:dyDescent="0.25">
      <c r="B84" s="21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3"/>
      <c r="X84" s="14"/>
      <c r="Y84" s="14"/>
      <c r="Z84" s="14"/>
      <c r="AA84" s="14"/>
      <c r="AB84" s="14"/>
      <c r="AC84" s="14"/>
      <c r="AD84" s="13"/>
      <c r="AE84" s="14"/>
      <c r="AF84" s="14"/>
      <c r="AG84" s="14"/>
      <c r="AH84" s="14"/>
      <c r="AI84" s="14"/>
      <c r="AJ84" s="16"/>
      <c r="AK84" s="14"/>
      <c r="AL84" s="14"/>
      <c r="AM84" s="14"/>
      <c r="AN84" s="14"/>
      <c r="AO84" s="14"/>
      <c r="AP84" s="14"/>
      <c r="AQ84" s="14"/>
      <c r="AR84" s="22"/>
    </row>
    <row r="85" spans="2:44" x14ac:dyDescent="0.25">
      <c r="B85" s="21"/>
      <c r="C85" s="14"/>
      <c r="D85" s="3"/>
      <c r="E85" s="4"/>
      <c r="F85" s="4"/>
      <c r="G85" s="5"/>
      <c r="H85" s="14"/>
      <c r="I85" s="14"/>
      <c r="J85" s="14"/>
      <c r="K85" s="14"/>
      <c r="L85" s="14"/>
      <c r="M85" s="14"/>
      <c r="N85" s="14"/>
      <c r="O85" s="14"/>
      <c r="P85" s="13"/>
      <c r="Q85" s="14"/>
      <c r="R85" s="14"/>
      <c r="S85" s="14"/>
      <c r="T85" s="14"/>
      <c r="U85" s="14"/>
      <c r="V85" s="14"/>
      <c r="W85" s="13"/>
      <c r="X85" s="14"/>
      <c r="Y85" s="14"/>
      <c r="Z85" s="14"/>
      <c r="AA85" s="14"/>
      <c r="AB85" s="14"/>
      <c r="AC85" s="14"/>
      <c r="AD85" s="13"/>
      <c r="AE85" s="14"/>
      <c r="AF85" s="14"/>
      <c r="AG85" s="14"/>
      <c r="AH85" s="14"/>
      <c r="AI85" s="14"/>
      <c r="AJ85" s="16"/>
      <c r="AK85" s="14"/>
      <c r="AL85" s="14"/>
      <c r="AM85" s="14"/>
      <c r="AN85" s="16"/>
      <c r="AO85" s="14"/>
      <c r="AP85" s="14"/>
      <c r="AQ85" s="14"/>
      <c r="AR85" s="22"/>
    </row>
    <row r="86" spans="2:44" x14ac:dyDescent="0.25">
      <c r="B86" s="21"/>
      <c r="C86" s="14"/>
      <c r="D86" s="14"/>
      <c r="E86" s="14"/>
      <c r="F86" s="8"/>
      <c r="G86" s="14"/>
      <c r="H86" s="14"/>
      <c r="I86" s="14"/>
      <c r="J86" s="14"/>
      <c r="K86" s="14"/>
      <c r="L86" s="14"/>
      <c r="M86" s="14"/>
      <c r="N86" s="14"/>
      <c r="O86" s="14"/>
      <c r="P86" s="13"/>
      <c r="Q86" s="14"/>
      <c r="R86" s="14"/>
      <c r="S86" s="14"/>
      <c r="T86" s="14"/>
      <c r="U86" s="14"/>
      <c r="V86" s="14"/>
      <c r="W86" s="13"/>
      <c r="X86" s="14"/>
      <c r="Y86" s="14"/>
      <c r="Z86" s="14"/>
      <c r="AA86" s="14"/>
      <c r="AB86" s="14"/>
      <c r="AC86" s="14"/>
      <c r="AD86" s="13"/>
      <c r="AE86" s="14"/>
      <c r="AF86" s="14"/>
      <c r="AG86" s="14"/>
      <c r="AH86" s="14"/>
      <c r="AI86" s="14"/>
      <c r="AJ86" s="16"/>
      <c r="AK86" s="14"/>
      <c r="AL86" s="14"/>
      <c r="AM86" s="14"/>
      <c r="AN86" s="16"/>
      <c r="AO86" s="14"/>
      <c r="AP86" s="14"/>
      <c r="AQ86" s="14"/>
      <c r="AR86" s="22"/>
    </row>
    <row r="87" spans="2:44" x14ac:dyDescent="0.25">
      <c r="B87" s="21"/>
      <c r="C87" s="14"/>
      <c r="D87" s="14"/>
      <c r="E87" s="14"/>
      <c r="F87" s="13"/>
      <c r="G87" s="14"/>
      <c r="H87" s="14"/>
      <c r="I87" s="14"/>
      <c r="J87" s="14"/>
      <c r="K87" s="14"/>
      <c r="L87" s="14"/>
      <c r="M87" s="14"/>
      <c r="N87" s="14"/>
      <c r="O87" s="14"/>
      <c r="P87" s="13"/>
      <c r="Q87" s="14"/>
      <c r="R87" s="14"/>
      <c r="S87" s="14"/>
      <c r="T87" s="14"/>
      <c r="U87" s="14"/>
      <c r="V87" s="14"/>
      <c r="W87" s="13"/>
      <c r="X87" s="14"/>
      <c r="Y87" s="14"/>
      <c r="Z87" s="14"/>
      <c r="AA87" s="14"/>
      <c r="AB87" s="14"/>
      <c r="AC87" s="14"/>
      <c r="AD87" s="13"/>
      <c r="AE87" s="11"/>
      <c r="AF87" s="11"/>
      <c r="AG87" s="11"/>
      <c r="AH87" s="11"/>
      <c r="AI87" s="11"/>
      <c r="AJ87" s="12"/>
      <c r="AK87" s="11"/>
      <c r="AL87" s="11"/>
      <c r="AM87" s="11"/>
      <c r="AN87" s="12"/>
      <c r="AO87" s="14"/>
      <c r="AP87" s="14"/>
      <c r="AQ87" s="14"/>
      <c r="AR87" s="22"/>
    </row>
    <row r="88" spans="2:44" x14ac:dyDescent="0.25">
      <c r="B88" s="21"/>
      <c r="C88" s="14"/>
      <c r="D88" s="14"/>
      <c r="E88" s="14"/>
      <c r="F88" s="13"/>
      <c r="G88" s="14"/>
      <c r="H88" s="14"/>
      <c r="I88" s="14"/>
      <c r="J88" s="14"/>
      <c r="K88" s="14"/>
      <c r="L88" s="14"/>
      <c r="M88" s="14"/>
      <c r="N88" s="14"/>
      <c r="O88" s="14"/>
      <c r="P88" s="13"/>
      <c r="Q88" s="14"/>
      <c r="R88" s="14"/>
      <c r="S88" s="14"/>
      <c r="T88" s="14"/>
      <c r="U88" s="14"/>
      <c r="V88" s="14"/>
      <c r="W88" s="13"/>
      <c r="X88" s="14"/>
      <c r="Y88" s="14"/>
      <c r="Z88" s="14"/>
      <c r="AA88" s="14"/>
      <c r="AB88" s="14"/>
      <c r="AC88" s="14"/>
      <c r="AD88" s="8"/>
      <c r="AE88" s="14"/>
      <c r="AF88" s="14"/>
      <c r="AG88" s="14"/>
      <c r="AH88" s="14"/>
      <c r="AI88" s="14"/>
      <c r="AJ88" s="16"/>
      <c r="AK88" s="14"/>
      <c r="AL88" s="14"/>
      <c r="AM88" s="14"/>
      <c r="AN88" s="14"/>
      <c r="AO88" s="14"/>
      <c r="AP88" s="14"/>
      <c r="AQ88" s="14"/>
      <c r="AR88" s="22"/>
    </row>
    <row r="89" spans="2:44" x14ac:dyDescent="0.25">
      <c r="B89" s="21"/>
      <c r="C89" s="14"/>
      <c r="D89" s="14"/>
      <c r="E89" s="14"/>
      <c r="F89" s="13"/>
      <c r="G89" s="14"/>
      <c r="H89" s="14"/>
      <c r="I89" s="14"/>
      <c r="J89" s="14"/>
      <c r="K89" s="14"/>
      <c r="L89" s="14"/>
      <c r="M89" s="14"/>
      <c r="N89" s="14"/>
      <c r="O89" s="14"/>
      <c r="P89" s="13"/>
      <c r="Q89" s="14"/>
      <c r="R89" s="14"/>
      <c r="S89" s="14"/>
      <c r="T89" s="14"/>
      <c r="U89" s="14"/>
      <c r="V89" s="14"/>
      <c r="W89" s="13"/>
      <c r="X89" s="14"/>
      <c r="Y89" s="14"/>
      <c r="Z89" s="14"/>
      <c r="AA89" s="14"/>
      <c r="AB89" s="14"/>
      <c r="AC89" s="14"/>
      <c r="AD89" s="13"/>
      <c r="AE89" s="14"/>
      <c r="AF89" s="14"/>
      <c r="AG89" s="14"/>
      <c r="AH89" s="14"/>
      <c r="AI89" s="14"/>
      <c r="AJ89" s="16"/>
      <c r="AK89" s="14"/>
      <c r="AL89" s="14"/>
      <c r="AM89" s="14"/>
      <c r="AN89" s="14"/>
      <c r="AO89" s="14"/>
      <c r="AP89" s="14"/>
      <c r="AQ89" s="14"/>
      <c r="AR89" s="22"/>
    </row>
    <row r="90" spans="2:44" x14ac:dyDescent="0.25">
      <c r="B90" s="21"/>
      <c r="C90" s="14"/>
      <c r="D90" s="14"/>
      <c r="E90" s="14"/>
      <c r="F90" s="13"/>
      <c r="G90" s="14"/>
      <c r="H90" s="14"/>
      <c r="I90" s="14"/>
      <c r="J90" s="14"/>
      <c r="K90" s="14"/>
      <c r="L90" s="14"/>
      <c r="M90" s="14"/>
      <c r="N90" s="97"/>
      <c r="O90" s="98"/>
      <c r="P90" s="98"/>
      <c r="Q90" s="99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97"/>
      <c r="AC90" s="98"/>
      <c r="AD90" s="98"/>
      <c r="AE90" s="99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22"/>
    </row>
    <row r="91" spans="2:44" x14ac:dyDescent="0.25">
      <c r="B91" s="21"/>
      <c r="C91" s="14"/>
      <c r="D91" s="14"/>
      <c r="E91" s="14"/>
      <c r="F91" s="13"/>
      <c r="G91" s="14"/>
      <c r="H91" s="14"/>
      <c r="I91" s="14"/>
      <c r="J91" s="14"/>
      <c r="K91" s="14"/>
      <c r="L91" s="14"/>
      <c r="M91" s="14"/>
      <c r="N91" s="100"/>
      <c r="O91" s="84"/>
      <c r="P91" s="84"/>
      <c r="Q91" s="102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00"/>
      <c r="AC91" s="84"/>
      <c r="AD91" s="84"/>
      <c r="AE91" s="102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22"/>
    </row>
    <row r="92" spans="2:44" x14ac:dyDescent="0.25">
      <c r="B92" s="21"/>
      <c r="C92" s="14"/>
      <c r="D92" s="14"/>
      <c r="E92" s="14"/>
      <c r="F92" s="13"/>
      <c r="G92" s="14"/>
      <c r="H92" s="14"/>
      <c r="I92" s="14"/>
      <c r="J92" s="14"/>
      <c r="K92" s="14"/>
      <c r="L92" s="14"/>
      <c r="M92" s="14"/>
      <c r="N92" s="100"/>
      <c r="O92" s="84"/>
      <c r="P92" s="84"/>
      <c r="Q92" s="102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00"/>
      <c r="AC92" s="84"/>
      <c r="AD92" s="84"/>
      <c r="AE92" s="102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22"/>
    </row>
    <row r="93" spans="2:44" x14ac:dyDescent="0.25">
      <c r="B93" s="21"/>
      <c r="C93" s="14"/>
      <c r="D93" s="14"/>
      <c r="E93" s="14"/>
      <c r="F93" s="13"/>
      <c r="G93" s="14"/>
      <c r="H93" s="14"/>
      <c r="I93" s="14"/>
      <c r="J93" s="14"/>
      <c r="K93" s="14"/>
      <c r="L93" s="14"/>
      <c r="M93" s="14"/>
      <c r="N93" s="100"/>
      <c r="O93" s="84"/>
      <c r="P93" s="84"/>
      <c r="Q93" s="102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00"/>
      <c r="AC93" s="84"/>
      <c r="AD93" s="84"/>
      <c r="AE93" s="102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22"/>
    </row>
    <row r="94" spans="2:44" ht="15.75" customHeight="1" x14ac:dyDescent="0.25">
      <c r="B94" s="21"/>
      <c r="C94" s="14"/>
      <c r="D94" s="14"/>
      <c r="E94" s="14"/>
      <c r="F94" s="13"/>
      <c r="G94" s="14"/>
      <c r="H94" s="14"/>
      <c r="I94" s="14"/>
      <c r="J94" s="14"/>
      <c r="K94" s="14"/>
      <c r="L94" s="14"/>
      <c r="M94" s="14"/>
      <c r="N94" s="100"/>
      <c r="O94" s="238">
        <v>510</v>
      </c>
      <c r="P94" s="238"/>
      <c r="Q94" s="170" t="s">
        <v>1</v>
      </c>
      <c r="R94" s="14"/>
      <c r="S94" s="14"/>
      <c r="T94" s="14"/>
      <c r="U94" s="242">
        <f>G75-V66</f>
        <v>11.76923076923077</v>
      </c>
      <c r="V94" s="242"/>
      <c r="W94" s="242"/>
      <c r="X94" s="27" t="s">
        <v>0</v>
      </c>
      <c r="Y94" s="14"/>
      <c r="Z94" s="14"/>
      <c r="AA94" s="2"/>
      <c r="AB94" s="100"/>
      <c r="AC94" s="238">
        <v>680</v>
      </c>
      <c r="AD94" s="238"/>
      <c r="AE94" s="170" t="s">
        <v>1</v>
      </c>
      <c r="AF94" s="14"/>
      <c r="AG94" s="14"/>
      <c r="AH94" s="14"/>
      <c r="AI94" s="14"/>
      <c r="AJ94" s="242">
        <f>G75-AJ66</f>
        <v>14.232558139534884</v>
      </c>
      <c r="AK94" s="242"/>
      <c r="AL94" s="27" t="s">
        <v>0</v>
      </c>
      <c r="AM94" s="14"/>
      <c r="AN94" s="14"/>
      <c r="AO94" s="14"/>
      <c r="AP94" s="14"/>
      <c r="AQ94" s="14"/>
      <c r="AR94" s="22"/>
    </row>
    <row r="95" spans="2:44" x14ac:dyDescent="0.25">
      <c r="B95" s="21"/>
      <c r="C95" s="14"/>
      <c r="D95" s="14"/>
      <c r="E95" s="14"/>
      <c r="F95" s="13"/>
      <c r="G95" s="14"/>
      <c r="H95" s="14"/>
      <c r="I95" s="14"/>
      <c r="J95" s="14"/>
      <c r="K95" s="14"/>
      <c r="L95" s="14"/>
      <c r="M95" s="14"/>
      <c r="N95" s="100"/>
      <c r="O95" s="84"/>
      <c r="P95" s="84"/>
      <c r="Q95" s="102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00"/>
      <c r="AC95" s="84"/>
      <c r="AD95" s="84"/>
      <c r="AE95" s="102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22"/>
    </row>
    <row r="96" spans="2:44" x14ac:dyDescent="0.25">
      <c r="B96" s="21"/>
      <c r="C96" s="14"/>
      <c r="D96" s="14"/>
      <c r="E96" s="14"/>
      <c r="F96" s="13"/>
      <c r="G96" s="14"/>
      <c r="H96" s="14"/>
      <c r="I96" s="14"/>
      <c r="J96" s="14"/>
      <c r="K96" s="14"/>
      <c r="L96" s="14"/>
      <c r="M96" s="14"/>
      <c r="N96" s="100"/>
      <c r="O96" s="84"/>
      <c r="P96" s="84"/>
      <c r="Q96" s="102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00"/>
      <c r="AC96" s="84"/>
      <c r="AD96" s="84"/>
      <c r="AE96" s="102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22"/>
    </row>
    <row r="97" spans="2:44" x14ac:dyDescent="0.25">
      <c r="B97" s="21"/>
      <c r="C97" s="14"/>
      <c r="D97" s="14"/>
      <c r="E97" s="14"/>
      <c r="F97" s="13"/>
      <c r="G97" s="14"/>
      <c r="H97" s="14"/>
      <c r="I97" s="14"/>
      <c r="J97" s="14"/>
      <c r="K97" s="14"/>
      <c r="L97" s="14"/>
      <c r="M97" s="14"/>
      <c r="N97" s="100"/>
      <c r="O97" s="84"/>
      <c r="P97" s="84"/>
      <c r="Q97" s="102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00"/>
      <c r="AC97" s="84"/>
      <c r="AD97" s="84"/>
      <c r="AE97" s="102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22"/>
    </row>
    <row r="98" spans="2:44" x14ac:dyDescent="0.25">
      <c r="B98" s="21"/>
      <c r="C98" s="14"/>
      <c r="D98" s="14"/>
      <c r="E98" s="14"/>
      <c r="F98" s="13"/>
      <c r="G98" s="14"/>
      <c r="H98" s="14"/>
      <c r="I98" s="14"/>
      <c r="J98" s="14"/>
      <c r="K98" s="14"/>
      <c r="L98" s="14"/>
      <c r="M98" s="14"/>
      <c r="N98" s="103"/>
      <c r="O98" s="104"/>
      <c r="P98" s="104"/>
      <c r="Q98" s="105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03"/>
      <c r="AC98" s="104"/>
      <c r="AD98" s="104"/>
      <c r="AE98" s="105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22"/>
    </row>
    <row r="99" spans="2:44" x14ac:dyDescent="0.25">
      <c r="B99" s="21"/>
      <c r="C99" s="14"/>
      <c r="D99" s="14"/>
      <c r="E99" s="14"/>
      <c r="F99" s="13"/>
      <c r="G99" s="14"/>
      <c r="H99" s="14"/>
      <c r="I99" s="14"/>
      <c r="J99" s="14"/>
      <c r="K99" s="14"/>
      <c r="L99" s="14"/>
      <c r="M99" s="14"/>
      <c r="N99" s="14"/>
      <c r="O99" s="10"/>
      <c r="P99" s="14"/>
      <c r="Q99" s="14"/>
      <c r="R99" s="14"/>
      <c r="S99" s="14"/>
      <c r="T99" s="14"/>
      <c r="U99" s="14"/>
      <c r="V99" s="14"/>
      <c r="W99" s="13"/>
      <c r="X99" s="14"/>
      <c r="Y99" s="14"/>
      <c r="Z99" s="14"/>
      <c r="AA99" s="14"/>
      <c r="AB99" s="14"/>
      <c r="AC99" s="10"/>
      <c r="AD99" s="14"/>
      <c r="AE99" s="14"/>
      <c r="AF99" s="14"/>
      <c r="AG99" s="14"/>
      <c r="AH99" s="14"/>
      <c r="AI99" s="14"/>
      <c r="AJ99" s="14"/>
      <c r="AK99" s="13"/>
      <c r="AL99" s="14"/>
      <c r="AM99" s="14"/>
      <c r="AN99" s="14"/>
      <c r="AO99" s="14"/>
      <c r="AP99" s="14"/>
      <c r="AQ99" s="14"/>
      <c r="AR99" s="22"/>
    </row>
    <row r="100" spans="2:44" x14ac:dyDescent="0.25">
      <c r="B100" s="21"/>
      <c r="C100" s="14"/>
      <c r="D100" s="14"/>
      <c r="E100" s="14"/>
      <c r="F100" s="17"/>
      <c r="G100" s="11"/>
      <c r="H100" s="11"/>
      <c r="I100" s="11"/>
      <c r="J100" s="11"/>
      <c r="K100" s="11"/>
      <c r="L100" s="11"/>
      <c r="M100" s="11"/>
      <c r="N100" s="11"/>
      <c r="O100" s="12"/>
      <c r="P100" s="11"/>
      <c r="Q100" s="11"/>
      <c r="R100" s="11"/>
      <c r="S100" s="11"/>
      <c r="T100" s="11"/>
      <c r="U100" s="11"/>
      <c r="V100" s="11"/>
      <c r="W100" s="17"/>
      <c r="X100" s="11"/>
      <c r="Y100" s="11"/>
      <c r="Z100" s="11"/>
      <c r="AA100" s="11"/>
      <c r="AB100" s="11"/>
      <c r="AC100" s="12"/>
      <c r="AD100" s="17"/>
      <c r="AE100" s="11"/>
      <c r="AF100" s="11"/>
      <c r="AG100" s="11"/>
      <c r="AH100" s="11"/>
      <c r="AI100" s="11"/>
      <c r="AJ100" s="12"/>
      <c r="AK100" s="13"/>
      <c r="AL100" s="14"/>
      <c r="AM100" s="14"/>
      <c r="AN100" s="14"/>
      <c r="AO100" s="14"/>
      <c r="AP100" s="14"/>
      <c r="AQ100" s="14"/>
      <c r="AR100" s="22"/>
    </row>
    <row r="101" spans="2:44" ht="15.6" thickBot="1" x14ac:dyDescent="0.3">
      <c r="B101" s="24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6"/>
    </row>
    <row r="103" spans="2:44" ht="15.6" thickBot="1" x14ac:dyDescent="0.3"/>
    <row r="104" spans="2:44" x14ac:dyDescent="0.25">
      <c r="B104" s="18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20"/>
    </row>
    <row r="105" spans="2:44" x14ac:dyDescent="0.25">
      <c r="B105" s="21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22"/>
    </row>
    <row r="106" spans="2:44" x14ac:dyDescent="0.25">
      <c r="B106" s="21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22"/>
    </row>
    <row r="107" spans="2:44" x14ac:dyDescent="0.25">
      <c r="B107" s="21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22"/>
    </row>
    <row r="108" spans="2:44" ht="18.600000000000001" customHeight="1" x14ac:dyDescent="0.25">
      <c r="B108" s="21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243"/>
      <c r="AB108" s="243"/>
      <c r="AC108" s="243"/>
      <c r="AD108" s="243"/>
      <c r="AE108" s="243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22"/>
    </row>
    <row r="109" spans="2:44" ht="15" customHeight="1" x14ac:dyDescent="0.25">
      <c r="B109" s="21"/>
      <c r="C109" s="14"/>
      <c r="D109" s="11"/>
      <c r="E109" s="11"/>
      <c r="F109" s="11"/>
      <c r="G109" s="14"/>
      <c r="H109" s="14"/>
      <c r="I109" s="168">
        <v>20</v>
      </c>
      <c r="J109" s="86" t="s">
        <v>2</v>
      </c>
      <c r="K109" s="14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74"/>
      <c r="AE109" s="11"/>
      <c r="AF109" s="14"/>
      <c r="AG109" s="14"/>
      <c r="AH109" s="82">
        <f>I109-O126-V126-AC126</f>
        <v>1</v>
      </c>
      <c r="AI109" s="27" t="s">
        <v>2</v>
      </c>
      <c r="AJ109" s="14"/>
      <c r="AK109" s="11"/>
      <c r="AL109" s="97"/>
      <c r="AM109" s="98"/>
      <c r="AN109" s="98"/>
      <c r="AO109" s="98"/>
      <c r="AP109" s="99"/>
      <c r="AQ109" s="11"/>
      <c r="AR109" s="22"/>
    </row>
    <row r="110" spans="2:44" ht="15" customHeight="1" x14ac:dyDescent="0.25">
      <c r="B110" s="21"/>
      <c r="C110" s="14"/>
      <c r="D110" s="8"/>
      <c r="E110" s="14"/>
      <c r="F110" s="14"/>
      <c r="G110" s="175"/>
      <c r="H110" s="176"/>
      <c r="I110" s="176"/>
      <c r="J110" s="211" t="s">
        <v>135</v>
      </c>
      <c r="K110" s="212">
        <f>O126+V126+AC126</f>
        <v>19</v>
      </c>
      <c r="L110" s="14"/>
      <c r="M110" s="14"/>
      <c r="N110" s="14"/>
      <c r="O110" s="8"/>
      <c r="P110" s="14"/>
      <c r="Q110" s="14"/>
      <c r="R110" s="14"/>
      <c r="S110" s="14"/>
      <c r="T110" s="14"/>
      <c r="U110" s="14"/>
      <c r="V110" s="8"/>
      <c r="W110" s="14"/>
      <c r="X110" s="14"/>
      <c r="Y110" s="14"/>
      <c r="Z110" s="14"/>
      <c r="AA110" s="14"/>
      <c r="AB110" s="14"/>
      <c r="AC110" s="8"/>
      <c r="AD110" s="173"/>
      <c r="AE110" s="14"/>
      <c r="AF110" s="14"/>
      <c r="AG110" s="14"/>
      <c r="AH110" s="14"/>
      <c r="AI110" s="14"/>
      <c r="AJ110" s="14"/>
      <c r="AK110" s="14"/>
      <c r="AL110" s="103"/>
      <c r="AM110" s="104"/>
      <c r="AN110" s="104"/>
      <c r="AO110" s="104"/>
      <c r="AP110" s="105"/>
      <c r="AQ110" s="14"/>
      <c r="AR110" s="172"/>
    </row>
    <row r="111" spans="2:44" x14ac:dyDescent="0.25">
      <c r="B111" s="21"/>
      <c r="C111" s="14"/>
      <c r="D111" s="13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7"/>
      <c r="P111" s="14"/>
      <c r="Q111" s="14"/>
      <c r="R111" s="14"/>
      <c r="S111" s="14"/>
      <c r="T111" s="14"/>
      <c r="U111" s="14"/>
      <c r="V111" s="17"/>
      <c r="W111" s="14"/>
      <c r="X111" s="14"/>
      <c r="Y111" s="14"/>
      <c r="Z111" s="14"/>
      <c r="AA111" s="14"/>
      <c r="AB111" s="14"/>
      <c r="AC111" s="17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72"/>
    </row>
    <row r="112" spans="2:44" x14ac:dyDescent="0.25">
      <c r="B112" s="21"/>
      <c r="C112" s="14"/>
      <c r="D112" s="13"/>
      <c r="E112" s="14"/>
      <c r="F112" s="14"/>
      <c r="G112" s="14"/>
      <c r="H112" s="14"/>
      <c r="I112" s="14"/>
      <c r="J112" s="14"/>
      <c r="K112" s="14"/>
      <c r="L112" s="14"/>
      <c r="M112" s="14"/>
      <c r="N112" s="97"/>
      <c r="O112" s="99"/>
      <c r="P112" s="14"/>
      <c r="Q112" s="14"/>
      <c r="R112" s="14"/>
      <c r="S112" s="14"/>
      <c r="T112" s="14"/>
      <c r="U112" s="97"/>
      <c r="V112" s="99"/>
      <c r="W112" s="14"/>
      <c r="X112" s="14"/>
      <c r="Y112" s="14"/>
      <c r="Z112" s="14"/>
      <c r="AA112" s="14"/>
      <c r="AB112" s="97"/>
      <c r="AC112" s="99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72"/>
    </row>
    <row r="113" spans="2:44" x14ac:dyDescent="0.25">
      <c r="B113" s="21"/>
      <c r="C113" s="14"/>
      <c r="D113" s="13"/>
      <c r="E113" s="14"/>
      <c r="F113" s="14"/>
      <c r="G113" s="14"/>
      <c r="H113" s="14"/>
      <c r="I113" s="14"/>
      <c r="J113" s="14"/>
      <c r="K113" s="14"/>
      <c r="L113" s="14"/>
      <c r="M113" s="14"/>
      <c r="N113" s="100"/>
      <c r="O113" s="102"/>
      <c r="P113" s="14"/>
      <c r="Q113" s="14"/>
      <c r="R113" s="14"/>
      <c r="S113" s="14"/>
      <c r="T113" s="14"/>
      <c r="U113" s="100"/>
      <c r="V113" s="102"/>
      <c r="W113" s="14"/>
      <c r="X113" s="14"/>
      <c r="Y113" s="14"/>
      <c r="Z113" s="14"/>
      <c r="AA113" s="14"/>
      <c r="AB113" s="100"/>
      <c r="AC113" s="102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72"/>
    </row>
    <row r="114" spans="2:44" x14ac:dyDescent="0.25">
      <c r="B114" s="21"/>
      <c r="C114" s="14"/>
      <c r="D114" s="13"/>
      <c r="E114" s="14"/>
      <c r="F114" s="14"/>
      <c r="G114" s="14"/>
      <c r="H114" s="14"/>
      <c r="I114" s="14"/>
      <c r="J114" s="14"/>
      <c r="K114" s="14"/>
      <c r="L114" s="14"/>
      <c r="M114" s="14"/>
      <c r="N114" s="100"/>
      <c r="O114" s="102"/>
      <c r="P114" s="14"/>
      <c r="Q114" s="14"/>
      <c r="R114" s="14"/>
      <c r="S114" s="14"/>
      <c r="T114" s="14"/>
      <c r="U114" s="100"/>
      <c r="V114" s="102"/>
      <c r="W114" s="14"/>
      <c r="X114" s="14"/>
      <c r="Y114" s="14"/>
      <c r="Z114" s="14"/>
      <c r="AA114" s="14"/>
      <c r="AB114" s="100"/>
      <c r="AC114" s="102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72"/>
    </row>
    <row r="115" spans="2:44" x14ac:dyDescent="0.25">
      <c r="B115" s="21"/>
      <c r="C115" s="14"/>
      <c r="D115" s="13"/>
      <c r="E115" s="14"/>
      <c r="F115" s="14"/>
      <c r="G115" s="14"/>
      <c r="H115" s="14"/>
      <c r="I115" s="14"/>
      <c r="J115" s="14"/>
      <c r="K115" s="14"/>
      <c r="L115" s="14"/>
      <c r="M115" s="14"/>
      <c r="N115" s="100"/>
      <c r="O115" s="102"/>
      <c r="P115" s="14"/>
      <c r="Q115" s="14"/>
      <c r="R115" s="14"/>
      <c r="S115" s="14"/>
      <c r="T115" s="14"/>
      <c r="U115" s="100"/>
      <c r="V115" s="102"/>
      <c r="W115" s="14"/>
      <c r="X115" s="14"/>
      <c r="Y115" s="14"/>
      <c r="Z115" s="14"/>
      <c r="AA115" s="14"/>
      <c r="AB115" s="100"/>
      <c r="AC115" s="102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72"/>
    </row>
    <row r="116" spans="2:44" x14ac:dyDescent="0.25">
      <c r="B116" s="21"/>
      <c r="C116" s="14"/>
      <c r="D116" s="13"/>
      <c r="E116" s="14"/>
      <c r="F116" s="14"/>
      <c r="G116" s="14"/>
      <c r="H116" s="14"/>
      <c r="I116" s="14"/>
      <c r="J116" s="14"/>
      <c r="K116" s="14"/>
      <c r="L116" s="14"/>
      <c r="M116" s="14"/>
      <c r="N116" s="100"/>
      <c r="O116" s="102"/>
      <c r="P116" s="14"/>
      <c r="Q116" s="14"/>
      <c r="R116" s="14"/>
      <c r="S116" s="14"/>
      <c r="T116" s="14"/>
      <c r="U116" s="100"/>
      <c r="V116" s="102"/>
      <c r="W116" s="14"/>
      <c r="X116" s="14"/>
      <c r="Y116" s="14"/>
      <c r="Z116" s="14"/>
      <c r="AA116" s="14"/>
      <c r="AB116" s="100"/>
      <c r="AC116" s="102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72"/>
    </row>
    <row r="117" spans="2:44" x14ac:dyDescent="0.25">
      <c r="B117" s="21"/>
      <c r="C117" s="14"/>
      <c r="D117" s="13"/>
      <c r="E117" s="14"/>
      <c r="F117" s="14"/>
      <c r="G117" s="14"/>
      <c r="H117" s="14"/>
      <c r="I117" s="14"/>
      <c r="J117" s="14"/>
      <c r="K117" s="14"/>
      <c r="L117" s="14"/>
      <c r="M117" s="14"/>
      <c r="N117" s="100"/>
      <c r="O117" s="102"/>
      <c r="P117" s="14"/>
      <c r="Q117" s="14"/>
      <c r="R117" s="14"/>
      <c r="S117" s="14"/>
      <c r="T117" s="14"/>
      <c r="U117" s="100"/>
      <c r="V117" s="102"/>
      <c r="W117" s="14"/>
      <c r="X117" s="14"/>
      <c r="Y117" s="14"/>
      <c r="Z117" s="14"/>
      <c r="AA117" s="14"/>
      <c r="AB117" s="100"/>
      <c r="AC117" s="102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72"/>
    </row>
    <row r="118" spans="2:44" x14ac:dyDescent="0.25">
      <c r="B118" s="21"/>
      <c r="C118" s="14"/>
      <c r="D118" s="13"/>
      <c r="E118" s="14"/>
      <c r="F118" s="14"/>
      <c r="G118" s="14"/>
      <c r="H118" s="14"/>
      <c r="I118" s="14"/>
      <c r="J118" s="14"/>
      <c r="K118" s="14"/>
      <c r="L118" s="14"/>
      <c r="M118" s="14"/>
      <c r="N118" s="100"/>
      <c r="O118" s="102"/>
      <c r="P118" s="14"/>
      <c r="Q118" s="14"/>
      <c r="R118" s="14"/>
      <c r="S118" s="14"/>
      <c r="T118" s="14"/>
      <c r="U118" s="100"/>
      <c r="V118" s="102"/>
      <c r="W118" s="14"/>
      <c r="X118" s="14"/>
      <c r="Y118" s="14"/>
      <c r="Z118" s="14"/>
      <c r="AA118" s="14"/>
      <c r="AB118" s="100"/>
      <c r="AC118" s="102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72"/>
    </row>
    <row r="119" spans="2:44" x14ac:dyDescent="0.25">
      <c r="B119" s="21"/>
      <c r="C119" s="14"/>
      <c r="D119" s="13"/>
      <c r="E119" s="14"/>
      <c r="F119" s="14"/>
      <c r="G119" s="14"/>
      <c r="H119" s="14"/>
      <c r="I119" s="14"/>
      <c r="J119" s="14"/>
      <c r="K119" s="14"/>
      <c r="L119" s="14"/>
      <c r="M119" s="14"/>
      <c r="N119" s="103"/>
      <c r="O119" s="105"/>
      <c r="P119" s="14"/>
      <c r="Q119" s="14"/>
      <c r="R119" s="14"/>
      <c r="S119" s="14"/>
      <c r="T119" s="14"/>
      <c r="U119" s="103"/>
      <c r="V119" s="105"/>
      <c r="W119" s="14"/>
      <c r="X119" s="14"/>
      <c r="Y119" s="14"/>
      <c r="Z119" s="14"/>
      <c r="AA119" s="14"/>
      <c r="AB119" s="103"/>
      <c r="AC119" s="105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72"/>
    </row>
    <row r="120" spans="2:44" x14ac:dyDescent="0.25">
      <c r="B120" s="21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8"/>
      <c r="P120" s="14"/>
      <c r="Q120" s="14"/>
      <c r="R120" s="14"/>
      <c r="S120" s="14"/>
      <c r="T120" s="14"/>
      <c r="U120" s="14"/>
      <c r="V120" s="8"/>
      <c r="W120" s="14"/>
      <c r="X120" s="14"/>
      <c r="Y120" s="14"/>
      <c r="Z120" s="14"/>
      <c r="AA120" s="14"/>
      <c r="AB120" s="14"/>
      <c r="AC120" s="8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72"/>
    </row>
    <row r="121" spans="2:44" x14ac:dyDescent="0.25">
      <c r="B121" s="21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3"/>
      <c r="P121" s="14"/>
      <c r="Q121" s="14"/>
      <c r="R121" s="14"/>
      <c r="S121" s="14"/>
      <c r="T121" s="14"/>
      <c r="U121" s="14"/>
      <c r="V121" s="13"/>
      <c r="W121" s="14"/>
      <c r="X121" s="14"/>
      <c r="Y121" s="14"/>
      <c r="Z121" s="14"/>
      <c r="AA121" s="14"/>
      <c r="AB121" s="14"/>
      <c r="AC121" s="13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72"/>
    </row>
    <row r="122" spans="2:44" x14ac:dyDescent="0.25">
      <c r="B122" s="21"/>
      <c r="C122" s="14" t="s">
        <v>134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3"/>
      <c r="P122" s="14"/>
      <c r="Q122" s="14"/>
      <c r="R122" s="14"/>
      <c r="S122" s="14"/>
      <c r="T122" s="14"/>
      <c r="U122" s="14"/>
      <c r="V122" s="13"/>
      <c r="W122" s="14"/>
      <c r="X122" s="14"/>
      <c r="Y122" s="14"/>
      <c r="Z122" s="14"/>
      <c r="AA122" s="14"/>
      <c r="AB122" s="14"/>
      <c r="AC122" s="13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72"/>
    </row>
    <row r="123" spans="2:44" x14ac:dyDescent="0.25">
      <c r="B123" s="21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72"/>
    </row>
    <row r="124" spans="2:44" x14ac:dyDescent="0.25">
      <c r="B124" s="21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72"/>
    </row>
    <row r="125" spans="2:44" x14ac:dyDescent="0.25">
      <c r="B125" s="21"/>
      <c r="C125" s="14"/>
      <c r="D125" s="13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72"/>
    </row>
    <row r="126" spans="2:44" x14ac:dyDescent="0.25">
      <c r="B126" s="21"/>
      <c r="C126" s="14"/>
      <c r="D126" s="13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68">
        <v>5</v>
      </c>
      <c r="P126" s="169" t="s">
        <v>2</v>
      </c>
      <c r="Q126" s="14"/>
      <c r="R126" s="14"/>
      <c r="S126" s="14"/>
      <c r="T126" s="14"/>
      <c r="U126" s="2"/>
      <c r="V126" s="168">
        <v>9</v>
      </c>
      <c r="W126" s="86" t="s">
        <v>2</v>
      </c>
      <c r="X126" s="14"/>
      <c r="Y126" s="14"/>
      <c r="Z126" s="14"/>
      <c r="AA126" s="14"/>
      <c r="AB126" s="14"/>
      <c r="AC126" s="168">
        <v>5</v>
      </c>
      <c r="AD126" s="86" t="s">
        <v>2</v>
      </c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72"/>
    </row>
    <row r="127" spans="2:44" x14ac:dyDescent="0.25">
      <c r="B127" s="21"/>
      <c r="C127" s="14"/>
      <c r="D127" s="13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72"/>
    </row>
    <row r="128" spans="2:44" x14ac:dyDescent="0.25">
      <c r="B128" s="21"/>
      <c r="C128" s="14"/>
      <c r="D128" s="13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72"/>
    </row>
    <row r="129" spans="2:44" x14ac:dyDescent="0.25">
      <c r="B129" s="21"/>
      <c r="C129" s="14"/>
      <c r="D129" s="13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72"/>
    </row>
    <row r="130" spans="2:44" x14ac:dyDescent="0.25">
      <c r="B130" s="21"/>
      <c r="C130" s="14"/>
      <c r="D130" s="13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3"/>
      <c r="P130" s="14"/>
      <c r="Q130" s="14"/>
      <c r="R130" s="14"/>
      <c r="S130" s="14"/>
      <c r="T130" s="14"/>
      <c r="U130" s="14"/>
      <c r="V130" s="13"/>
      <c r="W130" s="14"/>
      <c r="X130" s="14"/>
      <c r="Y130" s="14"/>
      <c r="Z130" s="14"/>
      <c r="AA130" s="14"/>
      <c r="AB130" s="14"/>
      <c r="AC130" s="13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72"/>
    </row>
    <row r="131" spans="2:44" x14ac:dyDescent="0.25">
      <c r="B131" s="21"/>
      <c r="C131" s="14"/>
      <c r="D131" s="13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3"/>
      <c r="P131" s="14"/>
      <c r="Q131" s="14"/>
      <c r="R131" s="14"/>
      <c r="S131" s="14"/>
      <c r="T131" s="14"/>
      <c r="U131" s="14"/>
      <c r="V131" s="13"/>
      <c r="W131" s="14"/>
      <c r="X131" s="14"/>
      <c r="Y131" s="14"/>
      <c r="Z131" s="14"/>
      <c r="AA131" s="14"/>
      <c r="AB131" s="14"/>
      <c r="AC131" s="13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6"/>
      <c r="AR131" s="172"/>
    </row>
    <row r="132" spans="2:44" x14ac:dyDescent="0.25">
      <c r="B132" s="21"/>
      <c r="C132" s="14"/>
      <c r="D132" s="17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7"/>
      <c r="P132" s="11"/>
      <c r="Q132" s="11"/>
      <c r="R132" s="11"/>
      <c r="S132" s="11"/>
      <c r="T132" s="11"/>
      <c r="U132" s="11"/>
      <c r="V132" s="17"/>
      <c r="W132" s="11"/>
      <c r="X132" s="11"/>
      <c r="Y132" s="11"/>
      <c r="Z132" s="11"/>
      <c r="AA132" s="11"/>
      <c r="AB132" s="11"/>
      <c r="AC132" s="17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2"/>
      <c r="AR132" s="172"/>
    </row>
    <row r="133" spans="2:44" x14ac:dyDescent="0.25">
      <c r="B133" s="21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22"/>
    </row>
    <row r="134" spans="2:44" ht="15.6" thickBot="1" x14ac:dyDescent="0.3">
      <c r="B134" s="24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6"/>
    </row>
    <row r="136" spans="2:44" ht="15.6" thickBot="1" x14ac:dyDescent="0.3"/>
    <row r="137" spans="2:44" x14ac:dyDescent="0.25">
      <c r="B137" s="18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20"/>
    </row>
    <row r="138" spans="2:44" x14ac:dyDescent="0.25">
      <c r="B138" s="21" t="s">
        <v>182</v>
      </c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22"/>
    </row>
    <row r="139" spans="2:44" x14ac:dyDescent="0.25">
      <c r="B139" s="21" t="s">
        <v>183</v>
      </c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2"/>
      <c r="O139" s="238">
        <v>530</v>
      </c>
      <c r="P139" s="238"/>
      <c r="Q139" s="2" t="s">
        <v>184</v>
      </c>
      <c r="R139" s="2" t="s">
        <v>192</v>
      </c>
      <c r="S139" s="2"/>
      <c r="T139" s="2"/>
      <c r="U139" s="2"/>
      <c r="V139" s="2"/>
      <c r="W139" s="2"/>
      <c r="X139" s="2"/>
      <c r="Y139" s="2"/>
      <c r="Z139" s="2"/>
      <c r="AA139" s="235" t="s">
        <v>64</v>
      </c>
      <c r="AB139" s="238">
        <v>25</v>
      </c>
      <c r="AC139" s="238"/>
      <c r="AD139" s="2" t="s">
        <v>185</v>
      </c>
      <c r="AE139" s="22"/>
    </row>
    <row r="140" spans="2:44" x14ac:dyDescent="0.25">
      <c r="B140" s="21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22"/>
    </row>
    <row r="141" spans="2:44" x14ac:dyDescent="0.25">
      <c r="B141" s="21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22"/>
    </row>
    <row r="142" spans="2:44" x14ac:dyDescent="0.25">
      <c r="B142" s="21" t="s">
        <v>186</v>
      </c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22"/>
    </row>
    <row r="143" spans="2:44" x14ac:dyDescent="0.25">
      <c r="B143" s="21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22"/>
    </row>
    <row r="144" spans="2:44" x14ac:dyDescent="0.25">
      <c r="B144" s="21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22"/>
    </row>
    <row r="145" spans="2:31" x14ac:dyDescent="0.25">
      <c r="B145" s="21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22"/>
    </row>
    <row r="146" spans="2:31" x14ac:dyDescent="0.25">
      <c r="B146" s="21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22"/>
    </row>
    <row r="147" spans="2:31" x14ac:dyDescent="0.25">
      <c r="B147" s="21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22"/>
    </row>
    <row r="148" spans="2:31" x14ac:dyDescent="0.25">
      <c r="B148" s="21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22"/>
    </row>
    <row r="149" spans="2:31" x14ac:dyDescent="0.25">
      <c r="B149" s="21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22"/>
    </row>
    <row r="150" spans="2:31" x14ac:dyDescent="0.25">
      <c r="B150" s="21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22"/>
    </row>
    <row r="151" spans="2:31" x14ac:dyDescent="0.25">
      <c r="B151" s="21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22"/>
    </row>
    <row r="152" spans="2:31" x14ac:dyDescent="0.25">
      <c r="B152" s="21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22"/>
    </row>
    <row r="153" spans="2:31" x14ac:dyDescent="0.25">
      <c r="B153" s="21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22"/>
    </row>
    <row r="154" spans="2:31" x14ac:dyDescent="0.25">
      <c r="B154" s="21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22"/>
    </row>
    <row r="155" spans="2:31" x14ac:dyDescent="0.25">
      <c r="B155" s="21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22"/>
    </row>
    <row r="156" spans="2:31" x14ac:dyDescent="0.25">
      <c r="B156" s="21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22"/>
    </row>
    <row r="157" spans="2:31" x14ac:dyDescent="0.25">
      <c r="B157" s="21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22"/>
    </row>
    <row r="158" spans="2:31" x14ac:dyDescent="0.25">
      <c r="B158" s="21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22"/>
    </row>
    <row r="159" spans="2:31" x14ac:dyDescent="0.25">
      <c r="B159" s="21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22"/>
    </row>
    <row r="160" spans="2:31" x14ac:dyDescent="0.25">
      <c r="B160" s="21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22"/>
    </row>
    <row r="161" spans="2:31" x14ac:dyDescent="0.25">
      <c r="B161" s="21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22"/>
    </row>
    <row r="162" spans="2:31" x14ac:dyDescent="0.25">
      <c r="B162" s="21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22"/>
    </row>
    <row r="163" spans="2:31" x14ac:dyDescent="0.25">
      <c r="B163" s="21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22"/>
    </row>
    <row r="164" spans="2:31" x14ac:dyDescent="0.25">
      <c r="B164" s="21" t="s">
        <v>187</v>
      </c>
      <c r="C164" s="14"/>
      <c r="D164" s="14"/>
      <c r="E164" s="14"/>
      <c r="F164" s="14"/>
      <c r="G164" s="14"/>
      <c r="H164" s="235" t="s">
        <v>64</v>
      </c>
      <c r="I164" s="238">
        <v>200</v>
      </c>
      <c r="J164" s="238"/>
      <c r="K164" s="86" t="s">
        <v>188</v>
      </c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22"/>
    </row>
    <row r="165" spans="2:31" x14ac:dyDescent="0.25">
      <c r="B165" s="21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22"/>
    </row>
    <row r="166" spans="2:31" x14ac:dyDescent="0.25">
      <c r="B166" s="21" t="s">
        <v>189</v>
      </c>
      <c r="C166" s="14"/>
      <c r="D166" s="14"/>
      <c r="E166" s="14"/>
      <c r="F166" s="14"/>
      <c r="G166" s="14" t="s">
        <v>64</v>
      </c>
      <c r="H166" s="14">
        <f>AB139</f>
        <v>25</v>
      </c>
      <c r="I166" s="266" t="s">
        <v>6</v>
      </c>
      <c r="J166" s="235" t="s">
        <v>190</v>
      </c>
      <c r="K166" s="14">
        <f>O139</f>
        <v>530</v>
      </c>
      <c r="L166" s="86" t="s">
        <v>1</v>
      </c>
      <c r="M166" s="235" t="s">
        <v>64</v>
      </c>
      <c r="N166" s="240">
        <f>H166/1000</f>
        <v>2.5000000000000001E-2</v>
      </c>
      <c r="O166" s="240"/>
      <c r="P166" s="240"/>
      <c r="Q166" s="86" t="s">
        <v>2</v>
      </c>
      <c r="R166" s="235" t="s">
        <v>190</v>
      </c>
      <c r="S166" s="240">
        <f>K166</f>
        <v>530</v>
      </c>
      <c r="T166" s="240"/>
      <c r="U166" s="86" t="s">
        <v>1</v>
      </c>
      <c r="V166" s="235" t="s">
        <v>64</v>
      </c>
      <c r="W166" s="265">
        <f>N166*S166</f>
        <v>13.25</v>
      </c>
      <c r="X166" s="265"/>
      <c r="Y166" s="265"/>
      <c r="Z166" s="14" t="s">
        <v>191</v>
      </c>
      <c r="AA166" s="14"/>
      <c r="AB166" s="14"/>
      <c r="AC166" s="14"/>
      <c r="AD166" s="14"/>
      <c r="AE166" s="22"/>
    </row>
    <row r="167" spans="2:31" ht="15.6" thickBot="1" x14ac:dyDescent="0.3">
      <c r="B167" s="24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83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6"/>
    </row>
  </sheetData>
  <mergeCells count="26">
    <mergeCell ref="N166:P166"/>
    <mergeCell ref="S166:T166"/>
    <mergeCell ref="W166:Y166"/>
    <mergeCell ref="O139:P139"/>
    <mergeCell ref="AB139:AC139"/>
    <mergeCell ref="I164:J164"/>
    <mergeCell ref="AA108:AE108"/>
    <mergeCell ref="N6:O6"/>
    <mergeCell ref="G12:H12"/>
    <mergeCell ref="Y20:Z20"/>
    <mergeCell ref="G75:H75"/>
    <mergeCell ref="J54:K54"/>
    <mergeCell ref="AF20:AG20"/>
    <mergeCell ref="AF34:AG34"/>
    <mergeCell ref="Y34:Z34"/>
    <mergeCell ref="O66:P66"/>
    <mergeCell ref="O94:P94"/>
    <mergeCell ref="AC66:AD66"/>
    <mergeCell ref="AC94:AD94"/>
    <mergeCell ref="V54:W54"/>
    <mergeCell ref="O80:P80"/>
    <mergeCell ref="AN80:AO80"/>
    <mergeCell ref="V66:W66"/>
    <mergeCell ref="AJ66:AK66"/>
    <mergeCell ref="AJ94:AK94"/>
    <mergeCell ref="U94:W9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91"/>
  <sheetViews>
    <sheetView workbookViewId="0">
      <selection activeCell="N31" sqref="N31"/>
    </sheetView>
  </sheetViews>
  <sheetFormatPr defaultColWidth="9.109375" defaultRowHeight="15" x14ac:dyDescent="0.25"/>
  <cols>
    <col min="1" max="1" width="3.88671875" style="1" customWidth="1"/>
    <col min="2" max="2" width="4" style="1" customWidth="1"/>
    <col min="3" max="9" width="9.109375" style="1"/>
    <col min="10" max="10" width="14.33203125" style="1" customWidth="1"/>
    <col min="11" max="16" width="9.109375" style="1"/>
    <col min="17" max="17" width="4.33203125" style="1" customWidth="1"/>
    <col min="18" max="16384" width="9.109375" style="1"/>
  </cols>
  <sheetData>
    <row r="1" spans="2:17" ht="15.75" thickBot="1" x14ac:dyDescent="0.25"/>
    <row r="2" spans="2:17" x14ac:dyDescent="0.2"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0"/>
    </row>
    <row r="3" spans="2:17" x14ac:dyDescent="0.25">
      <c r="B3" s="21"/>
      <c r="C3" s="14"/>
      <c r="D3" s="14"/>
      <c r="E3" s="14" t="s">
        <v>66</v>
      </c>
      <c r="F3" s="14"/>
      <c r="G3" s="14"/>
      <c r="H3" s="14"/>
      <c r="I3" s="14"/>
      <c r="J3" s="14"/>
      <c r="K3" s="14"/>
      <c r="L3" s="14"/>
      <c r="M3" s="14" t="s">
        <v>67</v>
      </c>
      <c r="N3" s="14"/>
      <c r="O3" s="14"/>
      <c r="P3" s="14"/>
      <c r="Q3" s="22"/>
    </row>
    <row r="4" spans="2:17" x14ac:dyDescent="0.2">
      <c r="B4" s="21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22"/>
    </row>
    <row r="5" spans="2:17" x14ac:dyDescent="0.2">
      <c r="B5" s="21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22"/>
    </row>
    <row r="6" spans="2:17" x14ac:dyDescent="0.2">
      <c r="B6" s="21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22"/>
    </row>
    <row r="7" spans="2:17" x14ac:dyDescent="0.2">
      <c r="B7" s="21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22"/>
    </row>
    <row r="8" spans="2:17" x14ac:dyDescent="0.2">
      <c r="B8" s="21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22"/>
    </row>
    <row r="9" spans="2:17" x14ac:dyDescent="0.2">
      <c r="B9" s="21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22"/>
    </row>
    <row r="10" spans="2:17" x14ac:dyDescent="0.2">
      <c r="B10" s="21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22"/>
    </row>
    <row r="11" spans="2:17" x14ac:dyDescent="0.2">
      <c r="B11" s="21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22"/>
    </row>
    <row r="12" spans="2:17" x14ac:dyDescent="0.2">
      <c r="B12" s="21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22"/>
    </row>
    <row r="13" spans="2:17" x14ac:dyDescent="0.2">
      <c r="B13" s="21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22"/>
    </row>
    <row r="14" spans="2:17" x14ac:dyDescent="0.2">
      <c r="B14" s="21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22"/>
    </row>
    <row r="15" spans="2:17" x14ac:dyDescent="0.2">
      <c r="B15" s="21"/>
      <c r="C15" s="31">
        <v>300</v>
      </c>
      <c r="D15" s="86" t="s">
        <v>0</v>
      </c>
      <c r="E15" s="2"/>
      <c r="F15" s="2"/>
      <c r="G15" s="2"/>
      <c r="H15" s="2"/>
      <c r="I15" s="2"/>
      <c r="J15" s="2"/>
      <c r="K15" s="2"/>
      <c r="L15" s="2"/>
      <c r="M15" s="14"/>
      <c r="N15" s="14"/>
      <c r="O15" s="82">
        <f>C15*N27/F27</f>
        <v>150</v>
      </c>
      <c r="P15" s="27" t="s">
        <v>0</v>
      </c>
      <c r="Q15" s="22"/>
    </row>
    <row r="16" spans="2:17" x14ac:dyDescent="0.2">
      <c r="B16" s="21"/>
      <c r="C16" s="31">
        <v>1</v>
      </c>
      <c r="D16" s="86" t="s">
        <v>2</v>
      </c>
      <c r="E16" s="2"/>
      <c r="F16" s="2"/>
      <c r="G16" s="2"/>
      <c r="H16" s="2"/>
      <c r="I16" s="2"/>
      <c r="J16" s="2"/>
      <c r="K16" s="2"/>
      <c r="L16" s="2"/>
      <c r="M16" s="14"/>
      <c r="N16" s="14"/>
      <c r="O16" s="82">
        <f>C16*F27/N27</f>
        <v>2</v>
      </c>
      <c r="P16" s="27" t="s">
        <v>2</v>
      </c>
      <c r="Q16" s="22"/>
    </row>
    <row r="17" spans="2:17" x14ac:dyDescent="0.2">
      <c r="B17" s="21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22"/>
    </row>
    <row r="18" spans="2:17" x14ac:dyDescent="0.2">
      <c r="B18" s="21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22"/>
    </row>
    <row r="19" spans="2:17" x14ac:dyDescent="0.2">
      <c r="B19" s="21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22"/>
    </row>
    <row r="20" spans="2:17" x14ac:dyDescent="0.2">
      <c r="B20" s="21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2"/>
    </row>
    <row r="21" spans="2:17" x14ac:dyDescent="0.2">
      <c r="B21" s="21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2"/>
    </row>
    <row r="22" spans="2:17" x14ac:dyDescent="0.2">
      <c r="B22" s="21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22"/>
    </row>
    <row r="23" spans="2:17" x14ac:dyDescent="0.2">
      <c r="B23" s="21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22"/>
    </row>
    <row r="24" spans="2:17" x14ac:dyDescent="0.2">
      <c r="B24" s="21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22"/>
    </row>
    <row r="25" spans="2:17" x14ac:dyDescent="0.2">
      <c r="B25" s="21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22"/>
    </row>
    <row r="26" spans="2:17" x14ac:dyDescent="0.2">
      <c r="B26" s="21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22"/>
    </row>
    <row r="27" spans="2:17" x14ac:dyDescent="0.25">
      <c r="B27" s="21"/>
      <c r="C27" s="14"/>
      <c r="D27" s="14"/>
      <c r="E27" s="85" t="s">
        <v>68</v>
      </c>
      <c r="F27" s="72">
        <v>200</v>
      </c>
      <c r="G27" s="86" t="s">
        <v>65</v>
      </c>
      <c r="H27" s="14"/>
      <c r="I27" s="14"/>
      <c r="J27" s="14"/>
      <c r="K27" s="14"/>
      <c r="L27" s="14"/>
      <c r="M27" s="85" t="s">
        <v>69</v>
      </c>
      <c r="N27" s="72">
        <v>100</v>
      </c>
      <c r="O27" s="86" t="s">
        <v>65</v>
      </c>
      <c r="P27" s="14"/>
      <c r="Q27" s="22"/>
    </row>
    <row r="28" spans="2:17" ht="15.75" thickBot="1" x14ac:dyDescent="0.25"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6"/>
    </row>
    <row r="30" spans="2:17" ht="15.75" thickBot="1" x14ac:dyDescent="0.25"/>
    <row r="31" spans="2:17" x14ac:dyDescent="0.25">
      <c r="B31" s="18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0"/>
    </row>
    <row r="32" spans="2:17" x14ac:dyDescent="0.25">
      <c r="B32" s="21"/>
      <c r="C32" s="14"/>
      <c r="D32" s="14"/>
      <c r="E32" s="14" t="s">
        <v>66</v>
      </c>
      <c r="F32" s="14"/>
      <c r="G32" s="14"/>
      <c r="H32" s="14"/>
      <c r="I32" s="14"/>
      <c r="J32" s="14"/>
      <c r="K32" s="14"/>
      <c r="L32" s="14"/>
      <c r="M32" s="14" t="s">
        <v>67</v>
      </c>
      <c r="N32" s="14"/>
      <c r="O32" s="14"/>
      <c r="P32" s="14"/>
      <c r="Q32" s="22"/>
    </row>
    <row r="33" spans="2:17" x14ac:dyDescent="0.25">
      <c r="B33" s="21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22"/>
    </row>
    <row r="34" spans="2:17" x14ac:dyDescent="0.25">
      <c r="B34" s="21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22"/>
    </row>
    <row r="35" spans="2:17" x14ac:dyDescent="0.25">
      <c r="B35" s="21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22"/>
    </row>
    <row r="36" spans="2:17" x14ac:dyDescent="0.25">
      <c r="B36" s="21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2"/>
    </row>
    <row r="37" spans="2:17" x14ac:dyDescent="0.25">
      <c r="B37" s="21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22"/>
    </row>
    <row r="38" spans="2:17" x14ac:dyDescent="0.25">
      <c r="B38" s="21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22"/>
    </row>
    <row r="39" spans="2:17" x14ac:dyDescent="0.25">
      <c r="B39" s="21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22"/>
    </row>
    <row r="40" spans="2:17" x14ac:dyDescent="0.25">
      <c r="B40" s="21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22"/>
    </row>
    <row r="41" spans="2:17" x14ac:dyDescent="0.25">
      <c r="B41" s="21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22"/>
    </row>
    <row r="42" spans="2:17" x14ac:dyDescent="0.25">
      <c r="B42" s="21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22"/>
    </row>
    <row r="43" spans="2:17" x14ac:dyDescent="0.25">
      <c r="B43" s="21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22"/>
    </row>
    <row r="44" spans="2:17" x14ac:dyDescent="0.25">
      <c r="B44" s="21"/>
      <c r="C44" s="31">
        <v>220</v>
      </c>
      <c r="D44" s="86" t="s">
        <v>0</v>
      </c>
      <c r="E44" s="2"/>
      <c r="F44" s="2"/>
      <c r="G44" s="2"/>
      <c r="H44" s="2"/>
      <c r="I44" s="2"/>
      <c r="J44" s="2"/>
      <c r="K44" s="2"/>
      <c r="L44" s="14"/>
      <c r="M44" s="14"/>
      <c r="N44" s="14"/>
      <c r="O44" s="31">
        <v>22</v>
      </c>
      <c r="P44" s="86" t="s">
        <v>0</v>
      </c>
      <c r="Q44" s="22"/>
    </row>
    <row r="45" spans="2:17" x14ac:dyDescent="0.25">
      <c r="B45" s="21"/>
      <c r="C45" s="31">
        <v>10</v>
      </c>
      <c r="D45" s="86" t="s">
        <v>2</v>
      </c>
      <c r="E45" s="2"/>
      <c r="F45" s="2"/>
      <c r="G45" s="2"/>
      <c r="H45" s="2"/>
      <c r="I45" s="2"/>
      <c r="J45" s="2"/>
      <c r="K45" s="2"/>
      <c r="L45" s="14"/>
      <c r="M45" s="14"/>
      <c r="N45" s="14"/>
      <c r="O45" s="31">
        <v>15</v>
      </c>
      <c r="P45" s="86" t="s">
        <v>2</v>
      </c>
      <c r="Q45" s="22"/>
    </row>
    <row r="46" spans="2:17" x14ac:dyDescent="0.25">
      <c r="B46" s="21"/>
      <c r="C46" s="14"/>
      <c r="D46" s="14"/>
      <c r="E46" s="2"/>
      <c r="F46" s="2"/>
      <c r="G46" s="2"/>
      <c r="H46" s="2"/>
      <c r="I46" s="2"/>
      <c r="J46" s="2"/>
      <c r="K46" s="2"/>
      <c r="L46" s="14"/>
      <c r="M46" s="14"/>
      <c r="N46" s="14"/>
      <c r="O46" s="2"/>
      <c r="P46" s="14"/>
      <c r="Q46" s="22"/>
    </row>
    <row r="47" spans="2:17" x14ac:dyDescent="0.25">
      <c r="B47" s="21"/>
      <c r="C47" s="14"/>
      <c r="D47" s="14"/>
      <c r="E47" s="2"/>
      <c r="F47" s="2"/>
      <c r="G47" s="2"/>
      <c r="H47" s="2"/>
      <c r="I47" s="2"/>
      <c r="J47" s="2"/>
      <c r="K47" s="2"/>
      <c r="L47" s="14"/>
      <c r="M47" s="14"/>
      <c r="N47" s="14"/>
      <c r="O47" s="14"/>
      <c r="P47" s="14"/>
      <c r="Q47" s="22"/>
    </row>
    <row r="48" spans="2:17" x14ac:dyDescent="0.25">
      <c r="B48" s="21"/>
      <c r="C48" s="14"/>
      <c r="D48" s="14"/>
      <c r="E48" s="2"/>
      <c r="F48" s="2"/>
      <c r="G48" s="2"/>
      <c r="H48" s="2"/>
      <c r="I48" s="2"/>
      <c r="J48" s="2"/>
      <c r="K48" s="2"/>
      <c r="L48" s="14"/>
      <c r="M48" s="14"/>
      <c r="N48" s="14"/>
      <c r="O48" s="14"/>
      <c r="P48" s="14"/>
      <c r="Q48" s="22"/>
    </row>
    <row r="49" spans="2:17" x14ac:dyDescent="0.25">
      <c r="B49" s="21"/>
      <c r="C49" s="14"/>
      <c r="D49" s="14"/>
      <c r="E49" s="2"/>
      <c r="F49" s="2"/>
      <c r="G49" s="2"/>
      <c r="H49" s="2"/>
      <c r="I49" s="2"/>
      <c r="J49" s="2"/>
      <c r="K49" s="2"/>
      <c r="L49" s="14"/>
      <c r="M49" s="14"/>
      <c r="N49" s="14"/>
      <c r="O49" s="14"/>
      <c r="P49" s="14"/>
      <c r="Q49" s="22"/>
    </row>
    <row r="50" spans="2:17" x14ac:dyDescent="0.25">
      <c r="B50" s="21"/>
      <c r="C50" s="14"/>
      <c r="D50" s="14"/>
      <c r="E50" s="2"/>
      <c r="F50" s="2"/>
      <c r="G50" s="2"/>
      <c r="H50" s="2"/>
      <c r="I50" s="2"/>
      <c r="J50" s="2"/>
      <c r="K50" s="2"/>
      <c r="L50" s="14"/>
      <c r="M50" s="14"/>
      <c r="N50" s="14"/>
      <c r="O50" s="14"/>
      <c r="P50" s="14"/>
      <c r="Q50" s="22"/>
    </row>
    <row r="51" spans="2:17" x14ac:dyDescent="0.25">
      <c r="B51" s="2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22"/>
    </row>
    <row r="52" spans="2:17" x14ac:dyDescent="0.25">
      <c r="B52" s="21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22"/>
    </row>
    <row r="53" spans="2:17" x14ac:dyDescent="0.25">
      <c r="B53" s="21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22"/>
    </row>
    <row r="54" spans="2:17" x14ac:dyDescent="0.25">
      <c r="B54" s="21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22"/>
    </row>
    <row r="55" spans="2:17" x14ac:dyDescent="0.25">
      <c r="B55" s="21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22"/>
    </row>
    <row r="56" spans="2:17" x14ac:dyDescent="0.25">
      <c r="B56" s="21"/>
      <c r="C56" s="14"/>
      <c r="D56" s="14"/>
      <c r="E56" s="85"/>
      <c r="F56" s="80"/>
      <c r="G56" s="86"/>
      <c r="H56" s="14"/>
      <c r="I56" s="14"/>
      <c r="J56" s="14"/>
      <c r="K56" s="14"/>
      <c r="L56" s="14"/>
      <c r="M56" s="85"/>
      <c r="N56" s="80"/>
      <c r="O56" s="86"/>
      <c r="P56" s="14"/>
      <c r="Q56" s="22"/>
    </row>
    <row r="57" spans="2:17" x14ac:dyDescent="0.25">
      <c r="B57" s="21"/>
      <c r="C57" s="14"/>
      <c r="D57" s="14"/>
      <c r="E57" s="14"/>
      <c r="F57" s="14"/>
      <c r="G57" s="14"/>
      <c r="H57" s="64" t="s">
        <v>70</v>
      </c>
      <c r="I57" s="14"/>
      <c r="J57" s="14"/>
      <c r="K57" s="82">
        <f>(O44*O45)/(C44*C45)</f>
        <v>0.15</v>
      </c>
      <c r="L57" s="80" t="s">
        <v>64</v>
      </c>
      <c r="M57" s="82">
        <f>K57*100</f>
        <v>15</v>
      </c>
      <c r="N57" s="27" t="s">
        <v>26</v>
      </c>
      <c r="O57" s="14"/>
      <c r="P57" s="14"/>
      <c r="Q57" s="22"/>
    </row>
    <row r="58" spans="2:17" ht="15.6" thickBot="1" x14ac:dyDescent="0.3">
      <c r="B58" s="24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6"/>
    </row>
    <row r="60" spans="2:17" ht="15.6" thickBot="1" x14ac:dyDescent="0.3"/>
    <row r="61" spans="2:17" x14ac:dyDescent="0.25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20"/>
    </row>
    <row r="62" spans="2:17" x14ac:dyDescent="0.25">
      <c r="B62" s="21"/>
      <c r="C62" s="14"/>
      <c r="D62" s="14"/>
      <c r="E62" s="14" t="s">
        <v>66</v>
      </c>
      <c r="F62" s="14"/>
      <c r="G62" s="14"/>
      <c r="H62" s="14"/>
      <c r="I62" s="14"/>
      <c r="J62" s="14"/>
      <c r="K62" s="14"/>
      <c r="L62" s="14"/>
      <c r="M62" s="14" t="s">
        <v>67</v>
      </c>
      <c r="N62" s="14"/>
      <c r="O62" s="14"/>
      <c r="P62" s="14"/>
      <c r="Q62" s="22"/>
    </row>
    <row r="63" spans="2:17" x14ac:dyDescent="0.25">
      <c r="B63" s="21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22"/>
    </row>
    <row r="64" spans="2:17" x14ac:dyDescent="0.25">
      <c r="B64" s="21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22"/>
    </row>
    <row r="65" spans="2:17" x14ac:dyDescent="0.25">
      <c r="B65" s="21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22"/>
    </row>
    <row r="66" spans="2:17" x14ac:dyDescent="0.25">
      <c r="B66" s="21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22"/>
    </row>
    <row r="67" spans="2:17" x14ac:dyDescent="0.25">
      <c r="B67" s="21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22"/>
    </row>
    <row r="68" spans="2:17" x14ac:dyDescent="0.25">
      <c r="B68" s="21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22"/>
    </row>
    <row r="69" spans="2:17" x14ac:dyDescent="0.25">
      <c r="B69" s="21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22"/>
    </row>
    <row r="70" spans="2:17" x14ac:dyDescent="0.25">
      <c r="B70" s="21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22"/>
    </row>
    <row r="71" spans="2:17" x14ac:dyDescent="0.25">
      <c r="B71" s="21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22"/>
    </row>
    <row r="72" spans="2:17" x14ac:dyDescent="0.25">
      <c r="B72" s="21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22"/>
    </row>
    <row r="73" spans="2:17" x14ac:dyDescent="0.25">
      <c r="B73" s="21"/>
      <c r="C73" s="31">
        <v>1000</v>
      </c>
      <c r="D73" s="86" t="s">
        <v>65</v>
      </c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86"/>
      <c r="Q73" s="22"/>
    </row>
    <row r="74" spans="2:17" x14ac:dyDescent="0.25">
      <c r="B74" s="21"/>
      <c r="C74" s="31">
        <v>220</v>
      </c>
      <c r="D74" s="86" t="s">
        <v>0</v>
      </c>
      <c r="E74" s="14"/>
      <c r="F74" s="2"/>
      <c r="G74" s="2"/>
      <c r="H74" s="2"/>
      <c r="I74" s="2"/>
      <c r="J74" s="2"/>
      <c r="K74" s="2"/>
      <c r="L74" s="14"/>
      <c r="M74" s="14"/>
      <c r="N74" s="14"/>
      <c r="O74" s="14"/>
      <c r="P74" s="86"/>
      <c r="Q74" s="22"/>
    </row>
    <row r="75" spans="2:17" x14ac:dyDescent="0.25">
      <c r="B75" s="21"/>
      <c r="C75" s="14"/>
      <c r="D75" s="86"/>
      <c r="E75" s="14"/>
      <c r="F75" s="2"/>
      <c r="G75" s="2"/>
      <c r="H75" s="2"/>
      <c r="I75" s="2"/>
      <c r="J75" s="2"/>
      <c r="K75" s="2"/>
      <c r="L75" s="14"/>
      <c r="M75" s="14"/>
      <c r="N75" s="14"/>
      <c r="O75" s="14"/>
      <c r="P75" s="86"/>
      <c r="Q75" s="22"/>
    </row>
    <row r="76" spans="2:17" x14ac:dyDescent="0.25">
      <c r="B76" s="21"/>
      <c r="C76" s="14"/>
      <c r="D76" s="14"/>
      <c r="E76" s="14"/>
      <c r="F76" s="2"/>
      <c r="G76" s="2"/>
      <c r="H76" s="2"/>
      <c r="I76" s="2"/>
      <c r="J76" s="2"/>
      <c r="K76" s="2"/>
      <c r="L76" s="14"/>
      <c r="M76" s="14"/>
      <c r="N76" s="14"/>
      <c r="O76" s="14"/>
      <c r="P76" s="14"/>
      <c r="Q76" s="22"/>
    </row>
    <row r="77" spans="2:17" x14ac:dyDescent="0.25">
      <c r="B77" s="21"/>
      <c r="C77" s="14"/>
      <c r="D77" s="14"/>
      <c r="E77" s="14"/>
      <c r="F77" s="2"/>
      <c r="G77" s="2"/>
      <c r="H77" s="2"/>
      <c r="I77" s="2"/>
      <c r="J77" s="2"/>
      <c r="K77" s="2"/>
      <c r="L77" s="14"/>
      <c r="M77" s="14"/>
      <c r="N77" s="14"/>
      <c r="O77" s="27"/>
      <c r="P77" s="14"/>
      <c r="Q77" s="22"/>
    </row>
    <row r="78" spans="2:17" x14ac:dyDescent="0.25">
      <c r="B78" s="21"/>
      <c r="C78" s="14"/>
      <c r="D78" s="14"/>
      <c r="E78" s="14"/>
      <c r="F78" s="2"/>
      <c r="G78" s="2"/>
      <c r="H78" s="2"/>
      <c r="I78" s="2"/>
      <c r="J78" s="2"/>
      <c r="K78" s="2"/>
      <c r="L78" s="14"/>
      <c r="M78" s="14"/>
      <c r="N78" s="31">
        <v>2000</v>
      </c>
      <c r="O78" s="86" t="s">
        <v>65</v>
      </c>
      <c r="P78" s="14"/>
      <c r="Q78" s="22"/>
    </row>
    <row r="79" spans="2:17" x14ac:dyDescent="0.25">
      <c r="B79" s="21"/>
      <c r="C79" s="14"/>
      <c r="D79" s="14"/>
      <c r="E79" s="14"/>
      <c r="F79" s="2"/>
      <c r="G79" s="2"/>
      <c r="H79" s="2"/>
      <c r="I79" s="2"/>
      <c r="J79" s="2"/>
      <c r="K79" s="2"/>
      <c r="L79" s="14"/>
      <c r="M79" s="14"/>
      <c r="N79" s="31">
        <v>9</v>
      </c>
      <c r="O79" s="86" t="s">
        <v>2</v>
      </c>
      <c r="P79" s="14"/>
      <c r="Q79" s="22"/>
    </row>
    <row r="80" spans="2:17" x14ac:dyDescent="0.25">
      <c r="B80" s="21"/>
      <c r="C80" s="14"/>
      <c r="D80" s="14"/>
      <c r="E80" s="2"/>
      <c r="F80" s="2"/>
      <c r="G80" s="2"/>
      <c r="H80" s="2"/>
      <c r="I80" s="2"/>
      <c r="J80" s="2"/>
      <c r="K80" s="2"/>
      <c r="L80" s="14"/>
      <c r="M80" s="14"/>
      <c r="N80" s="31">
        <v>15</v>
      </c>
      <c r="O80" s="86" t="s">
        <v>71</v>
      </c>
      <c r="P80" s="14"/>
      <c r="Q80" s="22"/>
    </row>
    <row r="81" spans="2:17" x14ac:dyDescent="0.25">
      <c r="B81" s="21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22"/>
    </row>
    <row r="82" spans="2:17" x14ac:dyDescent="0.25">
      <c r="B82" s="21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22"/>
    </row>
    <row r="83" spans="2:17" x14ac:dyDescent="0.25">
      <c r="B83" s="21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22"/>
    </row>
    <row r="84" spans="2:17" x14ac:dyDescent="0.25">
      <c r="B84" s="21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22"/>
    </row>
    <row r="85" spans="2:17" x14ac:dyDescent="0.25">
      <c r="B85" s="21"/>
      <c r="C85" s="14"/>
      <c r="D85" s="14"/>
      <c r="E85" s="14"/>
      <c r="F85" s="14"/>
      <c r="G85" s="14"/>
      <c r="H85" s="82">
        <f>C74*N78/C73</f>
        <v>440</v>
      </c>
      <c r="I85" s="27" t="s">
        <v>72</v>
      </c>
      <c r="L85" s="14"/>
      <c r="M85" s="14"/>
      <c r="N85" s="14"/>
      <c r="O85" s="14"/>
      <c r="P85" s="14"/>
      <c r="Q85" s="22"/>
    </row>
    <row r="86" spans="2:17" x14ac:dyDescent="0.25">
      <c r="B86" s="21"/>
      <c r="C86" s="14"/>
      <c r="D86" s="14"/>
      <c r="E86" s="85"/>
      <c r="F86" s="80"/>
      <c r="G86" s="86"/>
      <c r="H86" s="82">
        <f>H85-(N80*N79)</f>
        <v>305</v>
      </c>
      <c r="I86" s="27" t="s">
        <v>73</v>
      </c>
      <c r="J86" s="14"/>
      <c r="K86" s="14"/>
      <c r="L86" s="14"/>
      <c r="M86" s="85"/>
      <c r="N86" s="80"/>
      <c r="O86" s="86"/>
      <c r="P86" s="14"/>
      <c r="Q86" s="22"/>
    </row>
    <row r="87" spans="2:17" x14ac:dyDescent="0.25">
      <c r="B87" s="21"/>
      <c r="C87" s="14"/>
      <c r="D87" s="14"/>
      <c r="E87" s="14"/>
      <c r="F87" s="14"/>
      <c r="G87" s="14"/>
      <c r="H87" s="64"/>
      <c r="I87" s="14"/>
      <c r="J87" s="14"/>
      <c r="K87" s="64"/>
      <c r="L87" s="80"/>
      <c r="M87" s="64"/>
      <c r="N87" s="27"/>
      <c r="O87" s="14"/>
      <c r="P87" s="14"/>
      <c r="Q87" s="22"/>
    </row>
    <row r="88" spans="2:17" ht="15.6" thickBot="1" x14ac:dyDescent="0.3">
      <c r="B88" s="24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6"/>
    </row>
    <row r="91" spans="2:17" ht="15.6" x14ac:dyDescent="0.3">
      <c r="B91" s="1" t="s">
        <v>75</v>
      </c>
      <c r="E91" s="74" t="s">
        <v>74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17</vt:i4>
      </vt:variant>
    </vt:vector>
  </HeadingPairs>
  <TitlesOfParts>
    <vt:vector size="17" baseType="lpstr">
      <vt:lpstr>Návod na použitie</vt:lpstr>
      <vt:lpstr>1 Ohmov zákon, Napäťový delič</vt:lpstr>
      <vt:lpstr>2 Elektrický odpor</vt:lpstr>
      <vt:lpstr>3 Vodivosť</vt:lpstr>
      <vt:lpstr>4 Max a Min hodnota R</vt:lpstr>
      <vt:lpstr>5 Prevody jednotiek</vt:lpstr>
      <vt:lpstr>6 Hodnota R podľa farby</vt:lpstr>
      <vt:lpstr>7 Kirchhoffove zákony</vt:lpstr>
      <vt:lpstr>8 Transformátor</vt:lpstr>
      <vt:lpstr>9 Logické obvody</vt:lpstr>
      <vt:lpstr>11 Prevody DES-BIN-HEXA</vt:lpstr>
      <vt:lpstr>12 Kondenzátory</vt:lpstr>
      <vt:lpstr>13 Výpočty na sínusovke</vt:lpstr>
      <vt:lpstr>14 Výpočty na elektromotore</vt:lpstr>
      <vt:lpstr>15 Výpočty v sieti</vt:lpstr>
      <vt:lpstr>Komplexné zdroje</vt:lpstr>
      <vt:lpstr>Pomocné výpočty</vt:lpstr>
    </vt:vector>
  </TitlesOfParts>
  <Company>Dualna Akademia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Krucovčin</dc:creator>
  <cp:lastModifiedBy>Igor Krucovčin</cp:lastModifiedBy>
  <cp:lastPrinted>2020-11-26T08:04:20Z</cp:lastPrinted>
  <dcterms:created xsi:type="dcterms:W3CDTF">2020-11-20T12:18:26Z</dcterms:created>
  <dcterms:modified xsi:type="dcterms:W3CDTF">2022-04-15T15:55:10Z</dcterms:modified>
</cp:coreProperties>
</file>